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20" sheetId="2" r:id="rId1"/>
  </sheets>
  <definedNames>
    <definedName name="_xlnm.Print_Area" localSheetId="0">'2020'!$B$1:$AN$22</definedName>
  </definedNames>
  <calcPr calcId="124519"/>
</workbook>
</file>

<file path=xl/calcChain.xml><?xml version="1.0" encoding="utf-8"?>
<calcChain xmlns="http://schemas.openxmlformats.org/spreadsheetml/2006/main">
  <c r="AM14" i="2"/>
  <c r="AM15"/>
  <c r="AM12"/>
  <c r="AK12"/>
  <c r="AH12"/>
  <c r="AE21"/>
  <c r="AG14"/>
  <c r="AL14"/>
  <c r="AI14" l="1"/>
  <c r="AM20" l="1"/>
  <c r="AJ15"/>
  <c r="AK14" l="1"/>
  <c r="AE20"/>
  <c r="AK13"/>
  <c r="AE13" s="1"/>
  <c r="AL15" l="1"/>
  <c r="AJ14" l="1"/>
  <c r="AE19"/>
  <c r="AE18"/>
  <c r="AL17" l="1"/>
  <c r="AE17" s="1"/>
  <c r="AL16"/>
  <c r="AK16"/>
  <c r="AH16"/>
  <c r="AG16"/>
  <c r="AN14"/>
  <c r="AF14"/>
  <c r="AI12"/>
  <c r="AE14" l="1"/>
  <c r="AE16"/>
  <c r="AE15"/>
  <c r="AE12"/>
  <c r="AN11" l="1"/>
  <c r="AN10" s="1"/>
  <c r="AM11"/>
  <c r="AM10" s="1"/>
  <c r="AL11"/>
  <c r="AK11"/>
  <c r="AK10" s="1"/>
  <c r="AJ11"/>
  <c r="AJ10" s="1"/>
  <c r="AI11"/>
  <c r="AI10" s="1"/>
  <c r="AH11"/>
  <c r="AH10" s="1"/>
  <c r="AG11"/>
  <c r="AG10" s="1"/>
  <c r="AF11"/>
  <c r="AF10" s="1"/>
  <c r="AE28"/>
  <c r="AE24"/>
  <c r="AL26" s="1"/>
  <c r="AL24" s="1"/>
  <c r="AL10" l="1"/>
  <c r="AL22" s="1"/>
  <c r="AF22"/>
  <c r="AG26"/>
  <c r="AG24" s="1"/>
  <c r="AK26"/>
  <c r="AK24" s="1"/>
  <c r="AH26"/>
  <c r="AE11"/>
  <c r="AI26"/>
  <c r="AI24" s="1"/>
  <c r="AM26"/>
  <c r="AM24" s="1"/>
  <c r="AH24"/>
  <c r="AF26"/>
  <c r="AF24" s="1"/>
  <c r="AJ26"/>
  <c r="AJ24" s="1"/>
  <c r="AN26"/>
  <c r="AN24" s="1"/>
  <c r="AN22"/>
  <c r="AM22"/>
  <c r="AK22"/>
  <c r="AJ22"/>
  <c r="AI22"/>
  <c r="AH22"/>
  <c r="AG22"/>
  <c r="AE22" l="1"/>
  <c r="AE10" l="1"/>
  <c r="N22" l="1"/>
  <c r="M22"/>
  <c r="L22"/>
  <c r="K22"/>
  <c r="I22"/>
  <c r="H22"/>
  <c r="G22"/>
  <c r="F22"/>
  <c r="AD9"/>
  <c r="AC9"/>
  <c r="AB9"/>
  <c r="AA9"/>
  <c r="Y9"/>
  <c r="X9"/>
  <c r="W9"/>
  <c r="V9"/>
  <c r="AD8"/>
  <c r="AC8"/>
  <c r="AB8"/>
  <c r="AA8"/>
  <c r="Z8"/>
  <c r="Y8"/>
  <c r="X8"/>
  <c r="W8"/>
  <c r="V8"/>
  <c r="U10"/>
  <c r="E8" l="1"/>
  <c r="T22"/>
  <c r="S22"/>
  <c r="R22"/>
  <c r="Q22"/>
  <c r="P22"/>
  <c r="O22"/>
  <c r="E10"/>
  <c r="AD22"/>
  <c r="AC22"/>
  <c r="AB22"/>
  <c r="AA22"/>
  <c r="Y22"/>
  <c r="X22"/>
  <c r="W22"/>
  <c r="V22"/>
  <c r="J9"/>
  <c r="AE8"/>
  <c r="U8"/>
  <c r="J22" l="1"/>
  <c r="Z9"/>
  <c r="Z22" s="1"/>
  <c r="E9"/>
  <c r="E22"/>
  <c r="U22"/>
  <c r="AE9"/>
  <c r="U9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
</t>
        </r>
      </text>
    </comment>
    <comment ref="A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освещение+ремонт памятника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освещение</t>
        </r>
      </text>
    </comment>
    <comment ref="A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
</t>
        </r>
      </text>
    </comment>
    <comment ref="A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AK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 свалка,
300 дет площ,
освещ (30,4+757,6)
</t>
        </r>
      </text>
    </comment>
    <comment ref="AL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сосвещ</t>
        </r>
      </text>
    </comment>
    <comment ref="AM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освещ,
сод площади</t>
        </r>
      </text>
    </comment>
    <comment ref="AM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 благоустр</t>
        </r>
      </text>
    </comment>
  </commentList>
</comments>
</file>

<file path=xl/sharedStrings.xml><?xml version="1.0" encoding="utf-8"?>
<sst xmlns="http://schemas.openxmlformats.org/spreadsheetml/2006/main" count="76" uniqueCount="55">
  <si>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</si>
  <si>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</si>
  <si>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</si>
  <si>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</si>
  <si>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</si>
  <si>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</si>
  <si>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</si>
  <si>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</si>
  <si>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</si>
  <si>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</si>
  <si>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</si>
  <si>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</si>
  <si>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</si>
  <si>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</si>
  <si>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</si>
  <si>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</si>
  <si>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</si>
  <si>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</si>
  <si>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</si>
  <si>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</si>
  <si>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</si>
  <si>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</si>
  <si>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</si>
  <si>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</si>
  <si>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</si>
  <si>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</si>
  <si>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</si>
  <si>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</si>
  <si>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</si>
  <si>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</si>
  <si>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Распределение межбюджетных трансфертов бюджетам сельских поселений МО  "Усть-Коксинский район" РА на 2020 год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</si>
  <si>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2020 год и плановый период 2021 и 2022 годов»
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</si>
  <si>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</si>
  <si>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3.2</t>
  </si>
  <si>
    <t>3.3</t>
  </si>
  <si>
    <t>3.4</t>
  </si>
  <si>
    <t>Иные межбюджетные трансферты на организацию благоустройства территории сельского поселения</t>
  </si>
  <si>
    <t>3.5</t>
  </si>
  <si>
    <t>3.6</t>
  </si>
  <si>
    <t>3.7</t>
  </si>
  <si>
    <t>Иные межбюджетные трансферты на содержание имущества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</si>
  <si>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</si>
  <si>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Иные межбюджетные трансферты на приобретение энергоресурсов</t>
  </si>
  <si>
    <t>освещение+ремонт памятника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</si>
  <si>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</si>
  <si>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3.8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</si>
  <si>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</si>
  <si>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</si>
  <si>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</si>
  <si>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(в согл на сод-е площади) поправить в след сессию</t>
  </si>
  <si>
    <t>3.10</t>
  </si>
  <si>
    <t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</t>
  </si>
  <si>
    <t>3.11</t>
  </si>
  <si>
    <t>Иные межбюджетные трансферты на приобретение компьютерной техники ипрограммных продуктов</t>
  </si>
  <si>
    <t>Приложение 15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</si>
</sst>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2" fillId="0" borderId="0">
      <alignment vertical="top"/>
    </xf>
  </cellStyleXfs>
  <cellXfs count="107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7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5"/>
  <sheetViews>
    <sheetView tabSelected="1" view="pageBreakPreview" topLeftCell="B2" zoomScale="75" zoomScaleNormal="75" zoomScaleSheetLayoutView="75" workbookViewId="0">
      <selection activeCell="AM13" sqref="AM13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ht="67.95" customHeight="1">
      <c r="B1" s="58"/>
      <c r="C1" s="3"/>
      <c r="D1" s="4"/>
      <c r="AK1" s="97" t="s">
        <v>54</v>
      </c>
      <c r="AL1" s="97"/>
      <c r="AM1" s="97"/>
      <c r="AN1" s="97"/>
    </row>
    <row r="2" spans="1:145" s="1" customFormat="1" ht="67.2" customHeight="1">
      <c r="B2" s="2"/>
      <c r="C2" s="3"/>
      <c r="D2" s="4"/>
      <c r="E2" s="3"/>
      <c r="F2" s="3"/>
      <c r="G2" s="3"/>
      <c r="H2" s="3"/>
      <c r="I2" s="5"/>
      <c r="J2" s="5"/>
      <c r="K2" s="98"/>
      <c r="L2" s="98"/>
      <c r="M2" s="98"/>
      <c r="N2" s="98"/>
      <c r="O2" s="6"/>
      <c r="P2" s="6"/>
      <c r="Q2" s="6"/>
      <c r="AK2" s="98" t="s">
        <v>31</v>
      </c>
      <c r="AL2" s="98"/>
      <c r="AM2" s="98"/>
      <c r="AN2" s="98"/>
    </row>
    <row r="3" spans="1:145" s="1" customFormat="1" ht="17.399999999999999">
      <c r="A3" s="6"/>
      <c r="B3" s="102" t="s">
        <v>30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5"/>
      <c r="O4" s="7"/>
      <c r="P4" s="7"/>
      <c r="Q4" s="7"/>
      <c r="AN4" s="26" t="s">
        <v>18</v>
      </c>
    </row>
    <row r="5" spans="1:145" s="1" customFormat="1" ht="27.6" customHeight="1" thickBot="1">
      <c r="B5" s="99"/>
      <c r="C5" s="100" t="s">
        <v>0</v>
      </c>
      <c r="D5" s="10"/>
      <c r="E5" s="101" t="s">
        <v>24</v>
      </c>
      <c r="F5" s="101"/>
      <c r="G5" s="101"/>
      <c r="H5" s="101"/>
      <c r="I5" s="101"/>
      <c r="J5" s="101"/>
      <c r="K5" s="101"/>
      <c r="L5" s="101"/>
      <c r="M5" s="101"/>
      <c r="N5" s="101"/>
      <c r="O5" s="7"/>
      <c r="P5" s="7"/>
      <c r="Q5" s="7"/>
      <c r="U5" s="103" t="s">
        <v>25</v>
      </c>
      <c r="V5" s="103"/>
      <c r="W5" s="103"/>
      <c r="X5" s="103"/>
      <c r="Y5" s="103"/>
      <c r="Z5" s="103"/>
      <c r="AA5" s="103"/>
      <c r="AB5" s="103"/>
      <c r="AC5" s="103"/>
      <c r="AD5" s="103"/>
      <c r="AE5" s="104" t="s">
        <v>26</v>
      </c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145" s="17" customFormat="1" ht="51" customHeight="1" thickBot="1">
      <c r="A6" s="12"/>
      <c r="B6" s="99"/>
      <c r="C6" s="100"/>
      <c r="D6" s="105" t="s">
        <v>1</v>
      </c>
      <c r="E6" s="54" t="s">
        <v>8</v>
      </c>
      <c r="F6" s="56" t="s">
        <v>9</v>
      </c>
      <c r="G6" s="56" t="s">
        <v>10</v>
      </c>
      <c r="H6" s="56" t="s">
        <v>11</v>
      </c>
      <c r="I6" s="56" t="s">
        <v>12</v>
      </c>
      <c r="J6" s="56" t="s">
        <v>13</v>
      </c>
      <c r="K6" s="56" t="s">
        <v>14</v>
      </c>
      <c r="L6" s="56" t="s">
        <v>15</v>
      </c>
      <c r="M6" s="56" t="s">
        <v>19</v>
      </c>
      <c r="N6" s="56" t="s">
        <v>17</v>
      </c>
      <c r="O6" s="53" t="s">
        <v>16</v>
      </c>
      <c r="P6" s="48" t="s">
        <v>17</v>
      </c>
      <c r="Q6" s="13" t="s">
        <v>2</v>
      </c>
      <c r="R6" s="14"/>
      <c r="S6" s="15"/>
      <c r="T6" s="12"/>
      <c r="U6" s="54" t="s">
        <v>8</v>
      </c>
      <c r="V6" s="56" t="s">
        <v>9</v>
      </c>
      <c r="W6" s="56" t="s">
        <v>10</v>
      </c>
      <c r="X6" s="56" t="s">
        <v>11</v>
      </c>
      <c r="Y6" s="56" t="s">
        <v>12</v>
      </c>
      <c r="Z6" s="56" t="s">
        <v>13</v>
      </c>
      <c r="AA6" s="56" t="s">
        <v>14</v>
      </c>
      <c r="AB6" s="56" t="s">
        <v>15</v>
      </c>
      <c r="AC6" s="56" t="s">
        <v>19</v>
      </c>
      <c r="AD6" s="56" t="s">
        <v>17</v>
      </c>
      <c r="AE6" s="81" t="s">
        <v>8</v>
      </c>
      <c r="AF6" s="82" t="s">
        <v>9</v>
      </c>
      <c r="AG6" s="82" t="s">
        <v>10</v>
      </c>
      <c r="AH6" s="82" t="s">
        <v>11</v>
      </c>
      <c r="AI6" s="82" t="s">
        <v>12</v>
      </c>
      <c r="AJ6" s="82" t="s">
        <v>13</v>
      </c>
      <c r="AK6" s="82" t="s">
        <v>14</v>
      </c>
      <c r="AL6" s="82" t="s">
        <v>15</v>
      </c>
      <c r="AM6" s="82" t="s">
        <v>19</v>
      </c>
      <c r="AN6" s="82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106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86.25" hidden="1" customHeight="1">
      <c r="A8" s="30"/>
      <c r="B8" s="31" t="s">
        <v>5</v>
      </c>
      <c r="C8" s="57" t="s">
        <v>20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-157600</v>
      </c>
      <c r="V8" s="60">
        <f t="shared" ref="V8:V9" si="0">AF8-F8</f>
        <v>255590</v>
      </c>
      <c r="W8" s="60">
        <f t="shared" ref="W8:W9" si="1">AG8-G8</f>
        <v>-445040</v>
      </c>
      <c r="X8" s="60">
        <f t="shared" ref="X8:X9" si="2">AH8-H8</f>
        <v>-179840</v>
      </c>
      <c r="Y8" s="60">
        <f t="shared" ref="Y8:Y9" si="3">AI8-I8</f>
        <v>1029340</v>
      </c>
      <c r="Z8" s="60">
        <f t="shared" ref="Z8:Z9" si="4">AJ8-J8</f>
        <v>749280</v>
      </c>
      <c r="AA8" s="60">
        <f t="shared" ref="AA8:AA9" si="5">AK8-K8</f>
        <v>28530</v>
      </c>
      <c r="AB8" s="60">
        <f t="shared" ref="AB8:AB9" si="6">AL8-L8</f>
        <v>613770</v>
      </c>
      <c r="AC8" s="60">
        <f t="shared" ref="AC8:AC9" si="7">AM8-M8</f>
        <v>-2289890</v>
      </c>
      <c r="AD8" s="60">
        <f t="shared" ref="AD8:AD9" si="8">AN8-N8</f>
        <v>80660</v>
      </c>
      <c r="AE8" s="91">
        <f t="shared" ref="AE8:AE21" si="9">SUM(AF8:AN8)</f>
        <v>6606500</v>
      </c>
      <c r="AF8" s="92">
        <v>863660</v>
      </c>
      <c r="AG8" s="92">
        <v>453570</v>
      </c>
      <c r="AH8" s="92">
        <v>222410</v>
      </c>
      <c r="AI8" s="92">
        <v>1362840</v>
      </c>
      <c r="AJ8" s="92">
        <v>1337710</v>
      </c>
      <c r="AK8" s="92">
        <v>628420</v>
      </c>
      <c r="AL8" s="92">
        <v>1126090</v>
      </c>
      <c r="AM8" s="92">
        <v>0</v>
      </c>
      <c r="AN8" s="92">
        <v>611800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91.95" hidden="1" customHeight="1">
      <c r="A9" s="30"/>
      <c r="B9" s="39" t="s">
        <v>6</v>
      </c>
      <c r="C9" s="57" t="s">
        <v>21</v>
      </c>
      <c r="D9" s="61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0</v>
      </c>
      <c r="V9" s="60">
        <f t="shared" si="0"/>
        <v>-319540</v>
      </c>
      <c r="W9" s="60">
        <f t="shared" si="1"/>
        <v>352560</v>
      </c>
      <c r="X9" s="60">
        <f t="shared" si="2"/>
        <v>172030</v>
      </c>
      <c r="Y9" s="60">
        <f t="shared" si="3"/>
        <v>-1130180</v>
      </c>
      <c r="Z9" s="60">
        <f t="shared" si="4"/>
        <v>-878760</v>
      </c>
      <c r="AA9" s="60">
        <f t="shared" si="5"/>
        <v>264690</v>
      </c>
      <c r="AB9" s="60">
        <f t="shared" si="6"/>
        <v>-639350</v>
      </c>
      <c r="AC9" s="60">
        <f t="shared" si="7"/>
        <v>2208030</v>
      </c>
      <c r="AD9" s="60">
        <f t="shared" si="8"/>
        <v>-29480</v>
      </c>
      <c r="AE9" s="91">
        <f t="shared" si="9"/>
        <v>17093700</v>
      </c>
      <c r="AF9" s="92">
        <v>1927960</v>
      </c>
      <c r="AG9" s="92">
        <v>2516560</v>
      </c>
      <c r="AH9" s="92">
        <v>2127530</v>
      </c>
      <c r="AI9" s="92">
        <v>636820</v>
      </c>
      <c r="AJ9" s="92">
        <v>1199740</v>
      </c>
      <c r="AK9" s="92">
        <v>2757190</v>
      </c>
      <c r="AL9" s="92">
        <v>518650</v>
      </c>
      <c r="AM9" s="92">
        <v>3437230</v>
      </c>
      <c r="AN9" s="92">
        <v>1972020</v>
      </c>
      <c r="AO9" s="36"/>
      <c r="AP9" s="36"/>
      <c r="AQ9" s="36"/>
      <c r="AR9" s="36"/>
      <c r="AS9" s="36"/>
      <c r="AT9" s="36"/>
      <c r="AU9" s="71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4" hidden="1" customHeight="1">
      <c r="A10" s="30"/>
      <c r="B10" s="62" t="s">
        <v>7</v>
      </c>
      <c r="C10" s="63" t="s">
        <v>23</v>
      </c>
      <c r="D10" s="64"/>
      <c r="E10" s="65">
        <f>SUM(F10:N10)</f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8"/>
      <c r="Q10" s="68"/>
      <c r="R10" s="68"/>
      <c r="S10" s="68"/>
      <c r="T10" s="69"/>
      <c r="U10" s="65">
        <f>SUM(V10:AD10)</f>
        <v>0</v>
      </c>
      <c r="V10" s="66"/>
      <c r="W10" s="66"/>
      <c r="X10" s="66"/>
      <c r="Y10" s="66"/>
      <c r="Z10" s="66"/>
      <c r="AA10" s="66"/>
      <c r="AB10" s="66"/>
      <c r="AC10" s="66"/>
      <c r="AD10" s="66"/>
      <c r="AE10" s="93">
        <f t="shared" si="9"/>
        <v>21382802.43</v>
      </c>
      <c r="AF10" s="94">
        <f>SUM(AF11:AF21)</f>
        <v>2074100</v>
      </c>
      <c r="AG10" s="94">
        <f t="shared" ref="AG10:AN10" si="10">SUM(AG11:AG21)</f>
        <v>2801824.39</v>
      </c>
      <c r="AH10" s="94">
        <f t="shared" si="10"/>
        <v>1554455.13</v>
      </c>
      <c r="AI10" s="94">
        <f t="shared" si="10"/>
        <v>1480711.98</v>
      </c>
      <c r="AJ10" s="94">
        <f t="shared" si="10"/>
        <v>3326640</v>
      </c>
      <c r="AK10" s="94">
        <f t="shared" si="10"/>
        <v>3005866.8</v>
      </c>
      <c r="AL10" s="94">
        <f t="shared" si="10"/>
        <v>1867946.13</v>
      </c>
      <c r="AM10" s="94">
        <f t="shared" si="10"/>
        <v>4489360</v>
      </c>
      <c r="AN10" s="94">
        <f t="shared" si="10"/>
        <v>781898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80" customFormat="1" ht="55.5" customHeight="1">
      <c r="A11" s="72"/>
      <c r="B11" s="73" t="s">
        <v>28</v>
      </c>
      <c r="C11" s="70" t="s">
        <v>27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 t="shared" si="9"/>
        <v>12166700</v>
      </c>
      <c r="AF11" s="92">
        <f>1321100+239100+AF28</f>
        <v>1833500</v>
      </c>
      <c r="AG11" s="95">
        <f>1382350+AG28</f>
        <v>1770000</v>
      </c>
      <c r="AH11" s="95">
        <f>734100+AH28</f>
        <v>909800</v>
      </c>
      <c r="AI11" s="95">
        <f>1000650+AI28</f>
        <v>1180990</v>
      </c>
      <c r="AJ11" s="95">
        <f>836300+AJ28</f>
        <v>1135640</v>
      </c>
      <c r="AK11" s="95">
        <f>1302300+AK28</f>
        <v>1600710</v>
      </c>
      <c r="AL11" s="95">
        <f>158900+968400+AL28</f>
        <v>1317870</v>
      </c>
      <c r="AM11" s="95">
        <f>1476900+AM28</f>
        <v>1760430</v>
      </c>
      <c r="AN11" s="95">
        <f>498800+AN28</f>
        <v>657760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79.95" customHeight="1">
      <c r="A12" s="72"/>
      <c r="B12" s="73" t="s">
        <v>33</v>
      </c>
      <c r="C12" s="83" t="s">
        <v>32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9"/>
        <v>1442226</v>
      </c>
      <c r="AF12" s="92">
        <v>45000</v>
      </c>
      <c r="AG12" s="92">
        <v>390289</v>
      </c>
      <c r="AH12" s="92">
        <f>20000+80000</f>
        <v>100000</v>
      </c>
      <c r="AI12" s="92">
        <f>146421</f>
        <v>146421</v>
      </c>
      <c r="AJ12" s="92"/>
      <c r="AK12" s="92">
        <f>13268+60000</f>
        <v>73268</v>
      </c>
      <c r="AL12" s="92"/>
      <c r="AM12" s="92">
        <f>238366+180000+192160+76722</f>
        <v>687248</v>
      </c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79.95" customHeight="1">
      <c r="A13" s="72"/>
      <c r="B13" s="73" t="s">
        <v>34</v>
      </c>
      <c r="C13" s="83" t="s">
        <v>47</v>
      </c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>
        <f t="shared" si="9"/>
        <v>73852</v>
      </c>
      <c r="AF13" s="92"/>
      <c r="AG13" s="92"/>
      <c r="AH13" s="92"/>
      <c r="AI13" s="92"/>
      <c r="AJ13" s="92"/>
      <c r="AK13" s="92">
        <f>73852</f>
        <v>73852</v>
      </c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51" customHeight="1">
      <c r="A14" s="72"/>
      <c r="B14" s="73" t="s">
        <v>35</v>
      </c>
      <c r="C14" s="83" t="s">
        <v>36</v>
      </c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>
        <f>SUM(AF14:AN14)</f>
        <v>3061386.51</v>
      </c>
      <c r="AF14" s="92">
        <f>155600</f>
        <v>155600</v>
      </c>
      <c r="AG14" s="92">
        <f>50654+70000+200000</f>
        <v>320654</v>
      </c>
      <c r="AH14" s="92">
        <v>18000</v>
      </c>
      <c r="AI14" s="92">
        <f>96464.98+16836</f>
        <v>113300.98</v>
      </c>
      <c r="AJ14" s="92">
        <f>21000</f>
        <v>21000</v>
      </c>
      <c r="AK14" s="92">
        <f>30436.8+10000+757600+300000</f>
        <v>1098036.8</v>
      </c>
      <c r="AL14" s="92">
        <f>131473+36576.41+161921.32</f>
        <v>329970.73</v>
      </c>
      <c r="AM14" s="92">
        <f>562732+(90000+117954)+50000+150000</f>
        <v>970686</v>
      </c>
      <c r="AN14" s="92">
        <f>34138</f>
        <v>34138</v>
      </c>
      <c r="AO14" s="71" t="s">
        <v>43</v>
      </c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36.75" customHeight="1">
      <c r="A15" s="72"/>
      <c r="B15" s="73" t="s">
        <v>37</v>
      </c>
      <c r="C15" s="83" t="s">
        <v>40</v>
      </c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>
        <f t="shared" si="9"/>
        <v>3095204</v>
      </c>
      <c r="AF15" s="92"/>
      <c r="AG15" s="92"/>
      <c r="AH15" s="92">
        <v>102332</v>
      </c>
      <c r="AI15" s="92"/>
      <c r="AJ15" s="92">
        <f>600000+1000000+500000</f>
        <v>2100000</v>
      </c>
      <c r="AK15" s="92"/>
      <c r="AL15" s="92">
        <f>20000+20000</f>
        <v>40000</v>
      </c>
      <c r="AM15" s="96">
        <f>302872+700000-150000</f>
        <v>852872</v>
      </c>
      <c r="AN15" s="92"/>
      <c r="AO15" s="71" t="s">
        <v>49</v>
      </c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47.25" customHeight="1">
      <c r="A16" s="72"/>
      <c r="B16" s="73" t="s">
        <v>38</v>
      </c>
      <c r="C16" s="83" t="s">
        <v>42</v>
      </c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>
        <f t="shared" si="9"/>
        <v>776323.13</v>
      </c>
      <c r="AF16" s="92"/>
      <c r="AG16" s="92">
        <f>200000</f>
        <v>200000</v>
      </c>
      <c r="AH16" s="92">
        <f>384323.13</f>
        <v>384323.13</v>
      </c>
      <c r="AI16" s="92"/>
      <c r="AJ16" s="92"/>
      <c r="AK16" s="92">
        <f>100000</f>
        <v>100000</v>
      </c>
      <c r="AL16" s="92">
        <f>42000</f>
        <v>42000</v>
      </c>
      <c r="AM16" s="92"/>
      <c r="AN16" s="92">
        <v>50000</v>
      </c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32.75" customHeight="1">
      <c r="A17" s="72"/>
      <c r="B17" s="73" t="s">
        <v>39</v>
      </c>
      <c r="C17" s="83" t="s">
        <v>41</v>
      </c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>
        <f t="shared" si="9"/>
        <v>98986.790000000008</v>
      </c>
      <c r="AF17" s="92"/>
      <c r="AG17" s="92">
        <v>80881.39</v>
      </c>
      <c r="AH17" s="92"/>
      <c r="AI17" s="92"/>
      <c r="AJ17" s="92"/>
      <c r="AK17" s="92"/>
      <c r="AL17" s="92">
        <f>18105.4</f>
        <v>18105.400000000001</v>
      </c>
      <c r="AM17" s="92"/>
      <c r="AN17" s="92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181.95" customHeight="1">
      <c r="A18" s="72"/>
      <c r="B18" s="73" t="s">
        <v>45</v>
      </c>
      <c r="C18" s="90" t="s">
        <v>44</v>
      </c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>
        <f t="shared" si="9"/>
        <v>60000</v>
      </c>
      <c r="AF18" s="92"/>
      <c r="AG18" s="92"/>
      <c r="AH18" s="92"/>
      <c r="AI18" s="92"/>
      <c r="AJ18" s="92"/>
      <c r="AK18" s="92"/>
      <c r="AL18" s="92">
        <v>60000</v>
      </c>
      <c r="AM18" s="92"/>
      <c r="AN18" s="92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80" customFormat="1" ht="103.2" customHeight="1">
      <c r="A19" s="72"/>
      <c r="B19" s="73" t="s">
        <v>48</v>
      </c>
      <c r="C19" s="83" t="s">
        <v>46</v>
      </c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8"/>
      <c r="S19" s="78"/>
      <c r="T19" s="79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91">
        <f t="shared" si="9"/>
        <v>120000</v>
      </c>
      <c r="AF19" s="92"/>
      <c r="AG19" s="92"/>
      <c r="AH19" s="92"/>
      <c r="AI19" s="92"/>
      <c r="AJ19" s="92">
        <v>30000</v>
      </c>
      <c r="AK19" s="92">
        <v>20000</v>
      </c>
      <c r="AL19" s="92">
        <v>20000</v>
      </c>
      <c r="AM19" s="92">
        <v>50000</v>
      </c>
      <c r="AN19" s="92"/>
      <c r="AO19" s="71"/>
      <c r="AP19" s="71"/>
      <c r="AQ19" s="89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s="80" customFormat="1" ht="103.2" customHeight="1">
      <c r="A20" s="72"/>
      <c r="B20" s="73" t="s">
        <v>50</v>
      </c>
      <c r="C20" s="83" t="s">
        <v>51</v>
      </c>
      <c r="D20" s="74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/>
      <c r="Q20" s="78"/>
      <c r="R20" s="78"/>
      <c r="S20" s="78"/>
      <c r="T20" s="79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91">
        <f t="shared" si="9"/>
        <v>128124</v>
      </c>
      <c r="AF20" s="92"/>
      <c r="AG20" s="92"/>
      <c r="AH20" s="92"/>
      <c r="AI20" s="92"/>
      <c r="AJ20" s="92"/>
      <c r="AK20" s="92"/>
      <c r="AL20" s="92"/>
      <c r="AM20" s="92">
        <f>30564+97560</f>
        <v>128124</v>
      </c>
      <c r="AN20" s="92"/>
      <c r="AO20" s="71"/>
      <c r="AP20" s="71"/>
      <c r="AQ20" s="89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</row>
    <row r="21" spans="1:145" s="80" customFormat="1" ht="64.2" customHeight="1">
      <c r="A21" s="72"/>
      <c r="B21" s="73" t="s">
        <v>52</v>
      </c>
      <c r="C21" s="83" t="s">
        <v>53</v>
      </c>
      <c r="D21" s="74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8"/>
      <c r="Q21" s="78"/>
      <c r="R21" s="78"/>
      <c r="S21" s="78"/>
      <c r="T21" s="79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91">
        <f t="shared" si="9"/>
        <v>360000</v>
      </c>
      <c r="AF21" s="92">
        <v>40000</v>
      </c>
      <c r="AG21" s="92">
        <v>40000</v>
      </c>
      <c r="AH21" s="92">
        <v>40000</v>
      </c>
      <c r="AI21" s="92">
        <v>40000</v>
      </c>
      <c r="AJ21" s="92">
        <v>40000</v>
      </c>
      <c r="AK21" s="92">
        <v>40000</v>
      </c>
      <c r="AL21" s="92">
        <v>40000</v>
      </c>
      <c r="AM21" s="92">
        <v>40000</v>
      </c>
      <c r="AN21" s="92">
        <v>40000</v>
      </c>
      <c r="AO21" s="71"/>
      <c r="AP21" s="71"/>
      <c r="AQ21" s="89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</row>
    <row r="22" spans="1:145" s="29" customFormat="1" ht="46.5" customHeight="1">
      <c r="A22" s="28"/>
      <c r="B22" s="49"/>
      <c r="C22" s="50" t="s">
        <v>22</v>
      </c>
      <c r="D22" s="51"/>
      <c r="E22" s="59" t="e">
        <f>SUM(F22:N22)</f>
        <v>#REF!</v>
      </c>
      <c r="F22" s="52" t="e">
        <f>F8+F9+#REF!+F10</f>
        <v>#REF!</v>
      </c>
      <c r="G22" s="52" t="e">
        <f>G8+G9+#REF!+G10</f>
        <v>#REF!</v>
      </c>
      <c r="H22" s="52" t="e">
        <f>H8+H9+#REF!+H10</f>
        <v>#REF!</v>
      </c>
      <c r="I22" s="52" t="e">
        <f>I8+I9+#REF!+I10</f>
        <v>#REF!</v>
      </c>
      <c r="J22" s="52" t="e">
        <f>J8+J9+#REF!+J10</f>
        <v>#REF!</v>
      </c>
      <c r="K22" s="52" t="e">
        <f>K8+K9+#REF!+K10</f>
        <v>#REF!</v>
      </c>
      <c r="L22" s="52" t="e">
        <f>L8+L9+#REF!+L10</f>
        <v>#REF!</v>
      </c>
      <c r="M22" s="52" t="e">
        <f>M8+M9+#REF!+M10</f>
        <v>#REF!</v>
      </c>
      <c r="N22" s="52" t="e">
        <f>N8+N9+#REF!+N10</f>
        <v>#REF!</v>
      </c>
      <c r="O22" s="52" t="e">
        <f>O8+O9+#REF!</f>
        <v>#REF!</v>
      </c>
      <c r="P22" s="52" t="e">
        <f>P8+P9+#REF!</f>
        <v>#REF!</v>
      </c>
      <c r="Q22" s="52" t="e">
        <f>Q8+Q9+#REF!</f>
        <v>#REF!</v>
      </c>
      <c r="R22" s="52" t="e">
        <f>R8+R9+#REF!</f>
        <v>#REF!</v>
      </c>
      <c r="S22" s="52" t="e">
        <f>S8+S9+#REF!</f>
        <v>#REF!</v>
      </c>
      <c r="T22" s="52" t="e">
        <f>T8+T9+#REF!</f>
        <v>#REF!</v>
      </c>
      <c r="U22" s="59" t="e">
        <f>SUM(V22:AD22)</f>
        <v>#REF!</v>
      </c>
      <c r="V22" s="52" t="e">
        <f>V8+V9+#REF!+V10</f>
        <v>#REF!</v>
      </c>
      <c r="W22" s="52" t="e">
        <f>W8+W9+#REF!+W10</f>
        <v>#REF!</v>
      </c>
      <c r="X22" s="52" t="e">
        <f>X8+X9+#REF!+X10</f>
        <v>#REF!</v>
      </c>
      <c r="Y22" s="52" t="e">
        <f>Y8+Y9+#REF!+Y10</f>
        <v>#REF!</v>
      </c>
      <c r="Z22" s="52" t="e">
        <f>Z8+Z9+#REF!+Z10</f>
        <v>#REF!</v>
      </c>
      <c r="AA22" s="52" t="e">
        <f>AA8+AA9+#REF!+AA10</f>
        <v>#REF!</v>
      </c>
      <c r="AB22" s="52" t="e">
        <f>AB8+AB9+#REF!+AB10</f>
        <v>#REF!</v>
      </c>
      <c r="AC22" s="52" t="e">
        <f>AC8+AC9+#REF!+AC10</f>
        <v>#REF!</v>
      </c>
      <c r="AD22" s="52" t="e">
        <f>AD8+AD9+#REF!+AD10</f>
        <v>#REF!</v>
      </c>
      <c r="AE22" s="52">
        <f>SUM(AF22:AN22)</f>
        <v>45083002.43</v>
      </c>
      <c r="AF22" s="52">
        <f>AF8+AF9+AF10</f>
        <v>4865720</v>
      </c>
      <c r="AG22" s="52">
        <f t="shared" ref="AG22:AN22" si="11">AG8+AG9+AG10</f>
        <v>5771954.3900000006</v>
      </c>
      <c r="AH22" s="52">
        <f t="shared" si="11"/>
        <v>3904395.13</v>
      </c>
      <c r="AI22" s="52">
        <f t="shared" si="11"/>
        <v>3480371.98</v>
      </c>
      <c r="AJ22" s="52">
        <f t="shared" si="11"/>
        <v>5864090</v>
      </c>
      <c r="AK22" s="52">
        <f t="shared" si="11"/>
        <v>6391476.7999999998</v>
      </c>
      <c r="AL22" s="52">
        <f>AL8+AL9+AL10</f>
        <v>3512686.13</v>
      </c>
      <c r="AM22" s="52">
        <f t="shared" si="11"/>
        <v>7926590</v>
      </c>
      <c r="AN22" s="52">
        <f t="shared" si="11"/>
        <v>3365718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 ht="34.200000000000003" hidden="1" customHeight="1">
      <c r="B23" s="84"/>
      <c r="C23" s="26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v>16.2</v>
      </c>
      <c r="AG23" s="26">
        <v>23.1</v>
      </c>
      <c r="AH23" s="26">
        <v>10.199999999999999</v>
      </c>
      <c r="AI23" s="26">
        <v>11.2</v>
      </c>
      <c r="AJ23" s="26">
        <v>17.600000000000001</v>
      </c>
      <c r="AK23" s="26">
        <v>18.55</v>
      </c>
      <c r="AL23" s="26">
        <v>11</v>
      </c>
      <c r="AM23" s="26">
        <v>17.5</v>
      </c>
      <c r="AN23" s="26">
        <v>8.8000000000000007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37.200000000000003" hidden="1" customHeight="1">
      <c r="B24" s="84"/>
      <c r="C24" s="26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f>1190*1.302</f>
        <v>1549.38</v>
      </c>
      <c r="AF24" s="88">
        <f>AE24*AF23*12-AF26</f>
        <v>273310.63199999998</v>
      </c>
      <c r="AG24" s="88">
        <f>AE24*AG23*12-AG26</f>
        <v>387654.87600000005</v>
      </c>
      <c r="AH24" s="88">
        <f>AH23*AE24*12-AH26</f>
        <v>175699.69199999998</v>
      </c>
      <c r="AI24" s="88">
        <f>AE24*AI23*12-AI26</f>
        <v>180347.83200000002</v>
      </c>
      <c r="AJ24" s="88">
        <f>AE24*AJ23*12-AJ26</f>
        <v>299340.21600000001</v>
      </c>
      <c r="AK24" s="88">
        <f>AE24*12*AK23-AK26</f>
        <v>298410.58799999999</v>
      </c>
      <c r="AL24" s="88">
        <f>AE24*AL23*12-AL26</f>
        <v>190573.74</v>
      </c>
      <c r="AM24" s="88">
        <f>AE24*AM23*12-AM26</f>
        <v>283536.54000000004</v>
      </c>
      <c r="AN24" s="88">
        <f>AE24*AN23*12-AN26</f>
        <v>158966.38800000001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6" hidden="1">
      <c r="B25" s="84"/>
      <c r="C25" s="26" t="s">
        <v>29</v>
      </c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6</v>
      </c>
      <c r="AG25" s="26">
        <v>9</v>
      </c>
      <c r="AH25" s="26">
        <v>3</v>
      </c>
      <c r="AI25" s="26">
        <v>6</v>
      </c>
      <c r="AJ25" s="26">
        <v>6</v>
      </c>
      <c r="AK25" s="26">
        <v>10</v>
      </c>
      <c r="AL25" s="26">
        <v>3</v>
      </c>
      <c r="AM25" s="26">
        <v>9</v>
      </c>
      <c r="AN25" s="26">
        <v>1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40.200000000000003" hidden="1" customHeight="1">
      <c r="B26" s="84"/>
      <c r="C26" s="26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>
        <f>AE24*AF25*3</f>
        <v>27888.840000000004</v>
      </c>
      <c r="AG26" s="26">
        <f>AE24*AG25*3</f>
        <v>41833.260000000009</v>
      </c>
      <c r="AH26" s="26">
        <f>AE24*AH25*3</f>
        <v>13944.420000000002</v>
      </c>
      <c r="AI26" s="26">
        <f>AE24*AI25*3</f>
        <v>27888.840000000004</v>
      </c>
      <c r="AJ26" s="26">
        <f>AE24*AJ25*3</f>
        <v>27888.840000000004</v>
      </c>
      <c r="AK26" s="26">
        <f>AE24*AK25*3</f>
        <v>46481.4</v>
      </c>
      <c r="AL26" s="26">
        <f>AE24*AL25*3</f>
        <v>13944.420000000002</v>
      </c>
      <c r="AM26" s="26">
        <f>AE24*AM25*3</f>
        <v>41833.260000000009</v>
      </c>
      <c r="AN26" s="26">
        <f>AE24*AN25*3</f>
        <v>4648.1400000000003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idden="1">
      <c r="B27" s="58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15.6" hidden="1">
      <c r="B28" s="58"/>
      <c r="C28" s="3"/>
      <c r="AE28" s="75">
        <f t="shared" ref="AE28" si="12">SUM(AF28:AN28)</f>
        <v>2247800</v>
      </c>
      <c r="AF28" s="1">
        <v>273300</v>
      </c>
      <c r="AG28" s="1">
        <v>387650</v>
      </c>
      <c r="AH28" s="1">
        <v>175700</v>
      </c>
      <c r="AI28" s="1">
        <v>180340</v>
      </c>
      <c r="AJ28" s="1">
        <v>299340</v>
      </c>
      <c r="AK28" s="1">
        <v>298410</v>
      </c>
      <c r="AL28" s="1">
        <v>190570</v>
      </c>
      <c r="AM28" s="1">
        <v>283530</v>
      </c>
      <c r="AN28" s="1">
        <v>158960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idden="1">
      <c r="B29" s="58"/>
      <c r="C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>
      <c r="B30" s="58"/>
      <c r="C30" s="3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</row>
    <row r="42" spans="2:48">
      <c r="B42" s="58"/>
      <c r="C42" s="3"/>
    </row>
    <row r="43" spans="2:48">
      <c r="B43" s="58"/>
      <c r="C43" s="3"/>
    </row>
    <row r="44" spans="2:48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2:48">
      <c r="B54" s="58"/>
      <c r="C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2:48">
      <c r="B55" s="58"/>
      <c r="C55" s="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2020-10-28T05:45:03Z</dcterms:modified>
</cp:coreProperties>
</file>