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9090" windowHeight="10905" tabRatio="145" firstSheet="1" activeTab="2"/>
  </bookViews>
  <sheets>
    <sheet name="2012-2013" sheetId="1" state="hidden" r:id="rId1"/>
    <sheet name="2019г" sheetId="2" r:id="rId2"/>
    <sheet name="2020-2021гг" sheetId="3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'2019г'!$A$1:$I$634</definedName>
    <definedName name="_xlnm.Print_Area" localSheetId="2">'2020-2021гг'!$A$1:$L$627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<sst xmlns="http://schemas.openxmlformats.org/spreadsheetml/2006/main" count="10891" uniqueCount="1424">
  <si>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</si>
  <si>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</si>
  <si>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</si>
  <si>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</si>
  <si>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</si>
  <si>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</si>
  <si>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</si>
  <si>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</si>
  <si>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</si>
  <si>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</si>
  <si>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</si>
  <si>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</si>
  <si>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</si>
  <si>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</si>
  <si>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</si>
  <si>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</si>
  <si>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</si>
  <si>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</si>
  <si>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</si>
  <si>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</si>
  <si>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</si>
  <si>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</si>
  <si>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</si>
  <si>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</si>
  <si>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</si>
  <si>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</si>
  <si>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</si>
  <si>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</si>
  <si>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</si>
  <si>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</si>
  <si>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</si>
  <si>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</si>
  <si>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</si>
  <si>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</si>
  <si>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</si>
  <si>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</si>
  <si>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</si>
  <si>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</si>
  <si>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</si>
  <si>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</si>
  <si>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</si>
  <si>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</si>
  <si>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</si>
  <si>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</si>
  <si>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</si>
  <si>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</si>
  <si>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</si>
  <si>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</si>
  <si>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</si>
  <si>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</si>
  <si>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</si>
  <si>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</si>
  <si>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</si>
  <si>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</si>
  <si>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</si>
  <si>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</si>
  <si>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</si>
  <si>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</si>
  <si>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</si>
  <si>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</si>
  <si>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</si>
  <si>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</si>
  <si>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</si>
  <si>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</si>
  <si>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</si>
  <si>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</si>
  <si>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</si>
  <si>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</si>
  <si>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</si>
  <si>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</si>
  <si>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</si>
  <si>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</si>
  <si>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</si>
  <si>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</si>
  <si>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</si>
  <si>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</si>
  <si>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</si>
  <si>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</si>
  <si>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</si>
  <si>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</si>
  <si>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</si>
  <si>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</si>
  <si>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</si>
  <si>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</si>
  <si>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</si>
  <si>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</si>
  <si>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</si>
  <si>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</si>
  <si>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</si>
  <si>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</si>
  <si>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</si>
  <si>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</si>
  <si>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</si>
  <si>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</si>
  <si>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</si>
  <si>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</si>
  <si>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</si>
  <si>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</si>
  <si>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</si>
  <si>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</si>
  <si>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</si>
  <si>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</si>
  <si>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</si>
  <si>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</si>
  <si>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</si>
  <si>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</si>
  <si>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</si>
  <si>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</si>
  <si>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</si>
  <si>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</si>
  <si>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</si>
  <si>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</si>
  <si>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</si>
  <si>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</si>
  <si>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</si>
  <si>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</si>
  <si>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</si>
  <si>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</si>
  <si>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</si>
  <si>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</si>
  <si>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</si>
  <si>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</si>
  <si>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</si>
  <si>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</si>
  <si>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</si>
  <si>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</si>
  <si>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</si>
  <si>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</si>
  <si>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</si>
  <si>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</si>
  <si>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</si>
  <si>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</si>
  <si>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</si>
  <si>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</si>
  <si>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</si>
  <si>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</si>
  <si>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</si>
  <si>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</si>
  <si>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</si>
  <si>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</si>
  <si>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</si>
  <si>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</si>
  <si>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</si>
  <si>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</si>
  <si>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</si>
  <si>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</si>
  <si>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</si>
  <si>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</si>
  <si>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</si>
  <si>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</si>
  <si>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</si>
  <si>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</si>
  <si>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</si>
  <si>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</si>
  <si>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</si>
  <si>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</si>
  <si>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</si>
  <si>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</si>
  <si>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</si>
  <si>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</si>
  <si>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</si>
  <si>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</si>
  <si>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</si>
  <si>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</si>
  <si>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</si>
  <si>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</si>
  <si>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</si>
  <si>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</si>
  <si>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</si>
  <si>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</si>
  <si>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</si>
  <si>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</si>
  <si>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</si>
  <si>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</si>
  <si>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</si>
  <si>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</si>
  <si>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</si>
  <si>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</si>
  <si>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</si>
  <si>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</si>
  <si>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</si>
  <si>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</si>
  <si>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</si>
  <si>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</si>
  <si>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</si>
  <si>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</si>
  <si>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</si>
  <si>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</si>
  <si>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</si>
  <si>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</si>
  <si>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</si>
  <si>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</si>
  <si>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</si>
  <si>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</si>
  <si>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</si>
  <si>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</si>
  <si>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</si>
  <si>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</si>
  <si>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</si>
  <si>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</si>
  <si>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</si>
  <si>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</si>
  <si>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</si>
  <si>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</si>
  <si>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</si>
  <si>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</si>
  <si>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</si>
  <si>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</si>
  <si>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</si>
  <si>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</si>
  <si>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</si>
  <si>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</si>
  <si>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</si>
  <si>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</si>
  <si>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</si>
  <si>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</si>
  <si>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</si>
  <si>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</si>
  <si>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</si>
  <si>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</si>
  <si>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</si>
  <si>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</si>
  <si>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</si>
  <si>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</si>
  <si>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</si>
  <si>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</si>
  <si>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</si>
  <si>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</si>
  <si>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</si>
  <si>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</si>
  <si>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</si>
  <si>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</si>
  <si>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</si>
  <si>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</si>
  <si>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</si>
  <si>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</si>
  <si>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</si>
  <si>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</si>
  <si>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</si>
  <si>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</si>
  <si>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</si>
  <si>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</si>
  <si>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</si>
  <si>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</si>
  <si>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</si>
  <si>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</si>
  <si>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</si>
  <si>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</si>
  <si>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</si>
  <si>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</si>
  <si>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</si>
  <si>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</si>
  <si>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</si>
  <si>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</si>
  <si>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</si>
  <si>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</si>
  <si>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</si>
  <si>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</si>
  <si>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</si>
  <si>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</si>
  <si>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</si>
  <si>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</si>
  <si>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</si>
  <si>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</si>
  <si>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</si>
  <si>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</si>
  <si>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</si>
  <si>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</si>
  <si>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</si>
  <si>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</si>
  <si>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</si>
  <si>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</si>
  <si>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</si>
  <si>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</si>
  <si>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</si>
  <si>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</si>
  <si>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</si>
  <si>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</si>
  <si>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</si>
  <si>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</si>
  <si>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</si>
  <si>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</si>
  <si>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</si>
  <si>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</si>
  <si>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</si>
  <si>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</si>
  <si>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</si>
  <si>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</si>
  <si>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</si>
  <si>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</si>
  <si>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</si>
  <si>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</si>
  <si>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</si>
  <si>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</si>
  <si>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</si>
  <si>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</si>
  <si>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</si>
  <si>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</si>
  <si>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</si>
  <si>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</si>
  <si>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</si>
  <si>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</si>
  <si>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</si>
  <si>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</si>
  <si>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</si>
  <si>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</si>
  <si>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</si>
  <si>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</si>
  <si>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</si>
  <si>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</si>
  <si>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</si>
  <si>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</si>
  <si>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</si>
  <si>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</si>
  <si>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</si>
  <si>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</si>
  <si>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</si>
  <si>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</si>
  <si>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</si>
  <si>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</si>
  <si>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</si>
  <si>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</si>
  <si>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</si>
  <si>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</si>
  <si>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</si>
  <si>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</si>
  <si>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</si>
  <si>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</si>
  <si>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</si>
  <si>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</si>
  <si>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</si>
  <si>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</si>
  <si>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</si>
  <si>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</si>
  <si>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</si>
  <si>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</si>
  <si>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</si>
  <si>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</si>
  <si>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</si>
  <si>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</si>
  <si>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</si>
  <si>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</si>
  <si>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</si>
  <si>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</si>
  <si>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</si>
  <si>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</si>
  <si>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</si>
  <si>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</si>
  <si>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</si>
  <si>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</si>
  <si>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</si>
  <si>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</si>
  <si>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</si>
  <si>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</si>
  <si>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</si>
  <si>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</si>
  <si>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</si>
  <si>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</si>
  <si>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</si>
  <si>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</si>
  <si>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</si>
  <si>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</si>
  <si>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</si>
  <si>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</si>
  <si>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</si>
  <si>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</si>
  <si>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</si>
  <si>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</si>
  <si>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</si>
  <si>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</si>
  <si>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</si>
  <si>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</si>
  <si>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</si>
  <si>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</si>
  <si>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</si>
  <si>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</si>
  <si>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</si>
  <si>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</si>
  <si>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</si>
  <si>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</si>
  <si>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</si>
  <si>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</si>
  <si>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</si>
  <si>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</si>
  <si>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</si>
  <si>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</si>
  <si>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</si>
  <si>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</si>
  <si>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</si>
  <si>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</si>
  <si>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</si>
  <si>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</si>
  <si>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</si>
  <si>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</si>
  <si>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</si>
  <si>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</si>
  <si>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</si>
  <si>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</si>
  <si>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</si>
  <si>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</si>
  <si>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</si>
  <si>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</si>
  <si>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</si>
  <si>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</si>
  <si>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</si>
  <si>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</si>
  <si>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</si>
  <si>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</si>
  <si>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</si>
  <si>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</si>
  <si>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</si>
  <si>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</si>
  <si>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</si>
  <si>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</si>
  <si>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</si>
  <si>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</si>
  <si>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</si>
  <si>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</si>
  <si>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</si>
  <si>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</si>
  <si>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</si>
  <si>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</si>
  <si>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</si>
  <si>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</si>
  <si>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</si>
  <si>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</si>
  <si>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</si>
  <si>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</si>
  <si>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</si>
  <si>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</si>
  <si>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</si>
  <si>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</si>
  <si>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</si>
  <si>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</si>
  <si>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</si>
  <si>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</si>
  <si>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</si>
  <si>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</si>
  <si>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</si>
  <si>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</si>
  <si>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</si>
  <si>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</si>
  <si>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</si>
  <si>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</si>
  <si>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</si>
  <si>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</si>
  <si>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</si>
  <si>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</si>
  <si>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</si>
  <si>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</si>
  <si>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</si>
  <si>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</si>
  <si>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</si>
  <si>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</si>
  <si>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</si>
  <si>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</si>
  <si>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</si>
  <si>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</si>
  <si>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</si>
  <si>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</si>
  <si>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</si>
  <si>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</si>
  <si>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</si>
  <si>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</si>
  <si>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</si>
  <si>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</si>
  <si>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</si>
  <si>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</si>
  <si>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</si>
  <si>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</si>
  <si>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</si>
  <si>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</si>
  <si>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</si>
  <si>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</si>
  <si>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</si>
  <si>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</si>
  <si>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</si>
  <si>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</si>
  <si>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</si>
  <si>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</si>
  <si>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</si>
  <si>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</si>
  <si>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</si>
  <si>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</si>
  <si>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</si>
  <si>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</si>
  <si>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</si>
  <si>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</si>
  <si>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</si>
  <si>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</si>
  <si>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</si>
  <si>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</si>
  <si>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</si>
  <si>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</si>
  <si>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</si>
  <si>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</si>
  <si>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</si>
  <si>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</si>
  <si>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</si>
  <si>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</si>
  <si>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</si>
  <si>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</si>
  <si>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</si>
  <si>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</si>
  <si>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</si>
  <si>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</si>
  <si>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</si>
  <si>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</si>
  <si>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</si>
  <si>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</si>
  <si>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</si>
  <si>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</si>
  <si>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</si>
  <si>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</si>
  <si>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</si>
  <si>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</si>
  <si>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</si>
  <si>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</si>
  <si>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</si>
  <si>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</si>
  <si>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</si>
  <si>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</si>
  <si>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</si>
  <si>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</si>
  <si>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</si>
  <si>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</si>
  <si>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</si>
  <si>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</si>
  <si>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</si>
  <si>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</si>
  <si>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</si>
  <si>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</si>
  <si>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</si>
  <si>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</si>
  <si>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</si>
  <si>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</si>
  <si>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</si>
  <si>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</si>
  <si>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</si>
  <si>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</si>
  <si>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</si>
  <si>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</si>
  <si>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</si>
  <si>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</si>
  <si>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</si>
  <si>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</si>
  <si>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</si>
  <si>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</si>
  <si>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</si>
  <si>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</si>
  <si>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</si>
  <si>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</si>
  <si>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</si>
  <si>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</si>
  <si>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</si>
  <si>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</si>
  <si>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</si>
  <si>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</si>
  <si>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</si>
  <si>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</si>
  <si>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</si>
  <si>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</si>
  <si>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</si>
  <si>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</si>
  <si>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</si>
  <si>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</si>
  <si>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</si>
  <si>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</si>
  <si>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</si>
  <si>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</si>
  <si>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</si>
  <si>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</si>
  <si>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</si>
  <si>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</si>
  <si>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</si>
  <si>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</si>
  <si>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</si>
  <si>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</si>
  <si>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</si>
  <si>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</si>
  <si>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</si>
  <si>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</si>
  <si>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</si>
  <si>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</si>
  <si>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</si>
  <si>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</si>
  <si>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</si>
  <si>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</si>
  <si>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</si>
  <si>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</si>
  <si>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</si>
  <si>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</si>
  <si>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</si>
  <si>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</si>
  <si>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</si>
  <si>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</si>
  <si>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</si>
  <si>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</si>
  <si>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</si>
  <si>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</si>
  <si>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</si>
  <si>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</si>
  <si>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</si>
  <si>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</si>
  <si>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</si>
  <si>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</si>
  <si>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</si>
  <si>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</si>
  <si>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</si>
  <si>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</si>
  <si>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</si>
  <si>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</si>
  <si>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</si>
  <si>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</si>
  <si>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</si>
  <si>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</si>
  <si>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</si>
  <si>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</si>
  <si>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</si>
  <si>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</si>
  <si>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</si>
  <si>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</si>
  <si>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</si>
  <si>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</si>
  <si>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</si>
  <si>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</si>
  <si>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</si>
  <si>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</si>
  <si>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</si>
  <si>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</si>
  <si>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</si>
  <si>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</si>
  <si>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</si>
  <si>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</si>
  <si>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</si>
  <si>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</si>
  <si>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</si>
  <si>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</si>
  <si>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</si>
  <si>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</si>
  <si>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</si>
  <si>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</si>
  <si>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</si>
  <si>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</si>
  <si>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</si>
  <si>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</si>
  <si>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</si>
  <si>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</si>
  <si>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</si>
  <si>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</si>
  <si>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</si>
  <si>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</si>
  <si>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</si>
  <si>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</si>
  <si>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</si>
  <si>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</si>
  <si>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</si>
  <si>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</si>
  <si>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</si>
  <si>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</si>
  <si>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</si>
  <si>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</si>
  <si>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</si>
  <si>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</si>
  <si>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</si>
  <si>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</si>
  <si>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</si>
  <si>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</si>
  <si>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</si>
  <si>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</si>
  <si>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</si>
  <si>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</si>
  <si>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</si>
  <si>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</si>
  <si>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</si>
  <si>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</si>
  <si>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</si>
  <si>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</si>
  <si>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</si>
  <si>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</si>
  <si>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</si>
  <si>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</si>
  <si>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</si>
  <si>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</si>
  <si>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</si>
  <si>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</si>
  <si>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</si>
  <si>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</si>
  <si>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</si>
  <si>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</si>
  <si>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</si>
  <si>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</si>
  <si>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</si>
  <si>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</si>
  <si>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</si>
  <si>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</si>
  <si>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</si>
  <si>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</si>
  <si>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</si>
  <si>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</si>
  <si>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</si>
  <si>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</si>
  <si>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</si>
  <si>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</si>
  <si>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</si>
  <si>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</si>
  <si>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</si>
  <si>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</si>
  <si>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</si>
  <si>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</si>
  <si>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</si>
  <si>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</si>
  <si>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</si>
  <si>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</si>
  <si>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</si>
  <si>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</si>
  <si>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</si>
  <si>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</si>
  <si>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</si>
  <si>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</si>
  <si>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</si>
  <si>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</si>
  <si>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</si>
  <si>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</si>
  <si>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</si>
  <si>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</si>
  <si>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</si>
  <si>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</si>
  <si>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</si>
  <si>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</si>
  <si>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</si>
  <si>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</si>
  <si>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</si>
  <si>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</si>
  <si>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</si>
  <si>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</si>
  <si>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</si>
  <si>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</si>
  <si>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</si>
  <si>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</si>
  <si>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</si>
  <si>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</si>
  <si>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</si>
  <si>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</si>
  <si>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</si>
  <si>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</si>
  <si>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</si>
  <si>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</si>
  <si>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</si>
  <si>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</si>
  <si>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</si>
  <si>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</si>
  <si>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</si>
  <si>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</si>
  <si>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</si>
  <si>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</si>
  <si>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</si>
  <si>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</si>
  <si>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</si>
  <si>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</si>
  <si>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</si>
  <si>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</si>
  <si>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</si>
  <si>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</si>
  <si>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</si>
  <si>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</si>
  <si>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</si>
  <si>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</si>
  <si>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</si>
  <si>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</si>
  <si>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</si>
  <si>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</si>
  <si>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</si>
  <si>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</si>
  <si>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</si>
  <si>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</si>
  <si>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</si>
  <si>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</si>
  <si>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</si>
  <si>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</si>
  <si>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</si>
  <si>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</si>
  <si>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</si>
  <si>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</si>
  <si>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</si>
  <si>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</si>
  <si>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</si>
  <si>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</si>
  <si>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</si>
  <si>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</si>
  <si>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</si>
  <si>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</si>
  <si>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</si>
  <si>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</si>
  <si>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</si>
  <si>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</si>
  <si>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</si>
  <si>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</si>
  <si>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</si>
  <si>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</si>
  <si>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</si>
  <si>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</si>
  <si>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</si>
  <si>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</si>
  <si>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</si>
  <si>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</si>
  <si>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</si>
  <si>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</si>
  <si>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</si>
  <si>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</si>
  <si>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</si>
  <si>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</si>
  <si>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</si>
  <si>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</si>
  <si>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</si>
  <si>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</si>
  <si>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</si>
  <si>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</si>
  <si>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</si>
  <si>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</si>
  <si>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</si>
  <si>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</si>
  <si>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</si>
  <si>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</si>
  <si>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</si>
  <si>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</si>
  <si>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</si>
  <si>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</si>
  <si>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</si>
  <si>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</si>
  <si>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</si>
  <si>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</si>
  <si>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</si>
  <si>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</si>
  <si>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</si>
  <si>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</si>
  <si>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</si>
  <si>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</si>
  <si>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</si>
  <si>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</si>
  <si>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</si>
  <si>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</si>
  <si>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</si>
  <si>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</si>
  <si>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</si>
  <si>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</si>
  <si>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</si>
  <si>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</si>
  <si>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</si>
  <si>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</si>
  <si>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</si>
  <si>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</si>
  <si>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</si>
  <si>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</si>
  <si>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</si>
  <si>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</si>
  <si>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</si>
  <si>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</si>
  <si>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</si>
  <si>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</si>
  <si>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</si>
  <si>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</si>
  <si>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</si>
  <si>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</si>
  <si>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</si>
  <si>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</si>
  <si>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</si>
  <si>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</si>
  <si>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</si>
  <si>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</si>
  <si>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</si>
  <si>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</si>
  <si>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</si>
  <si>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</si>
  <si>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</si>
  <si>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</si>
  <si>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</si>
  <si>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</si>
  <si>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</si>
  <si>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</si>
  <si>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</si>
  <si>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</si>
  <si>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</si>
  <si>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</si>
  <si>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</si>
  <si>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</si>
  <si>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</si>
  <si>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</si>
  <si>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</si>
  <si>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</si>
  <si>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</si>
  <si>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</si>
  <si>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</si>
  <si>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</si>
  <si>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</si>
  <si>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</si>
  <si>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</si>
  <si>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</si>
  <si>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</si>
  <si>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</si>
  <si>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</si>
  <si>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</si>
  <si>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</si>
  <si>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</si>
  <si>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</si>
  <si>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</si>
  <si>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</si>
  <si>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</si>
  <si>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</si>
  <si>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</si>
  <si>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</si>
  <si>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</si>
  <si>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</si>
  <si>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</si>
  <si>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</si>
  <si>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</si>
  <si>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</si>
  <si>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</si>
  <si>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</si>
  <si>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</si>
  <si>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</si>
  <si>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</si>
  <si>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</si>
  <si>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</si>
  <si>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</si>
  <si>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</si>
  <si>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</si>
  <si>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</si>
  <si>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</si>
  <si>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</si>
  <si>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</si>
  <si>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</si>
  <si>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</si>
  <si>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</si>
  <si>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</si>
  <si>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</si>
  <si>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</si>
  <si>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</si>
  <si>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</si>
  <si>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</si>
  <si>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</si>
  <si>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</si>
  <si>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</si>
  <si>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</si>
  <si>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</si>
  <si>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</si>
  <si>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</si>
  <si>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</si>
  <si>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</si>
  <si>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</si>
  <si>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</si>
  <si>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</si>
  <si>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</si>
  <si>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</si>
  <si>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</si>
  <si>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</si>
  <si>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</si>
  <si>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</si>
  <si>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</si>
  <si>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</si>
  <si>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</si>
  <si>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</si>
  <si>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</si>
  <si>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</si>
  <si>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</si>
  <si>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</si>
  <si>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</si>
  <si>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</si>
  <si>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</si>
  <si>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</si>
  <si>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</si>
  <si>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</si>
  <si>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</si>
  <si>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</si>
  <si>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</si>
  <si>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</si>
  <si>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</si>
  <si>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</si>
  <si>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</si>
  <si>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</si>
  <si>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</si>
  <si>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</si>
  <si>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</si>
  <si>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</si>
  <si>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</si>
  <si>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</si>
  <si>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</si>
  <si>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</si>
  <si>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</si>
  <si>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</si>
  <si>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</si>
  <si>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</si>
  <si>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</si>
  <si>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</si>
  <si>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</si>
  <si>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</si>
  <si>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</si>
  <si>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</si>
  <si>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</si>
  <si>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</si>
  <si>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</si>
  <si>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</si>
  <si>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</si>
  <si>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</si>
  <si>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</si>
  <si>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</si>
  <si>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</si>
  <si>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</si>
  <si>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</si>
  <si>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</si>
  <si>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</si>
  <si>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</si>
  <si>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</si>
  <si>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</si>
  <si>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</si>
  <si>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</si>
  <si>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</si>
  <si>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</si>
  <si>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</si>
  <si>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</si>
  <si>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</si>
  <si>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</si>
  <si>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</si>
  <si>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</si>
  <si>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</si>
  <si>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</si>
  <si>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</si>
  <si>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</si>
  <si>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</si>
  <si>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</si>
  <si>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</si>
  <si>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</si>
  <si>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</si>
  <si>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</si>
  <si>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</si>
  <si>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</si>
  <si>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</si>
  <si>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</si>
  <si>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</si>
  <si>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</si>
  <si>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</si>
  <si>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</si>
  <si>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</si>
  <si>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</si>
  <si>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</si>
  <si>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</si>
  <si>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</si>
  <si>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</si>
  <si>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</si>
  <si>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</si>
  <si>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</si>
  <si>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</si>
  <si>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</si>
  <si>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</si>
  <si>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</si>
  <si>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</si>
  <si>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</si>
  <si>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</si>
  <si>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</si>
  <si>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</si>
  <si>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</si>
  <si>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</si>
  <si>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</si>
  <si>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</si>
  <si>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</si>
  <si>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</si>
  <si>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</si>
  <si>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</si>
  <si>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</si>
  <si>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</si>
  <si>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</si>
  <si>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</si>
  <si>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</si>
  <si>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</si>
  <si>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</si>
  <si>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</si>
  <si>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</si>
  <si>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</si>
  <si>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</si>
  <si>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</si>
  <si>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</si>
  <si>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</si>
  <si>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</si>
  <si>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</si>
  <si>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</si>
  <si>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</si>
  <si>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</si>
  <si>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</si>
  <si>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</si>
  <si>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</si>
  <si>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</si>
  <si>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</si>
  <si>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</si>
  <si>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</si>
  <si>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</si>
  <si>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</si>
  <si>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</si>
  <si>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</si>
  <si>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</si>
  <si>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</si>
  <si>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</si>
  <si>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</si>
  <si>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</si>
  <si>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</si>
  <si>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</si>
  <si>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</si>
  <si>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</si>
  <si>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</si>
  <si>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</si>
  <si>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</si>
  <si>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</si>
  <si>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</si>
  <si>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</si>
  <si>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</si>
  <si>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</si>
  <si>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</si>
  <si>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</si>
  <si>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</si>
  <si>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</si>
  <si>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</si>
  <si>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</si>
  <si>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</si>
  <si>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</si>
  <si>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</si>
  <si>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</si>
  <si>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</si>
  <si>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</si>
  <si>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</si>
  <si>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</si>
  <si>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</si>
  <si>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</si>
  <si>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</si>
  <si>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</si>
  <si>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</si>
  <si>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</si>
  <si>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</si>
  <si>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</si>
  <si>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</si>
  <si>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</si>
  <si>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</si>
  <si>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</si>
  <si>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</si>
  <si>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</si>
  <si>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</si>
  <si>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</si>
  <si>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</si>
  <si>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</si>
  <si>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</si>
  <si>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</si>
  <si>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</si>
  <si>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</si>
  <si>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</si>
  <si>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</si>
  <si>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</si>
  <si>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</si>
  <si>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</si>
  <si>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</si>
  <si>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</si>
  <si>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</si>
  <si>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</si>
  <si>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</si>
  <si>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</si>
  <si>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</si>
  <si>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Подпрограмма Создание  условий по обеспечению реализации муниципальной программы  МО "Усть-Коксинский район" Республики Алтай" "Повышение   качества управления муниципальными финансами"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</si>
  <si>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</si>
  <si>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</si>
  <si>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</si>
  <si>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</si>
  <si>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</si>
  <si>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</si>
  <si>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</si>
  <si>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</si>
  <si>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</si>
  <si>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</si>
  <si>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</si>
  <si>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</si>
  <si>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</si>
  <si>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</si>
  <si>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Подпрограмма 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</si>
  <si>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</si>
  <si>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</si>
  <si>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</si>
  <si>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</si>
  <si>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</si>
  <si>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</si>
  <si>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</si>
  <si>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</si>
  <si>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</si>
  <si>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</si>
  <si>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</si>
  <si>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</si>
  <si>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</si>
  <si>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</si>
  <si>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</si>
  <si>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</si>
  <si>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</si>
  <si>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</si>
  <si>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</si>
  <si>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</si>
  <si>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</si>
  <si>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</si>
  <si>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</si>
  <si>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</si>
  <si>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</si>
  <si>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</si>
  <si>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</si>
  <si>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</si>
  <si>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</si>
  <si>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</si>
  <si>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</si>
  <si>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</si>
  <si>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</si>
  <si>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</si>
  <si>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</si>
  <si>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</si>
  <si>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</si>
  <si>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</si>
  <si>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</si>
  <si>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</si>
  <si>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</si>
  <si>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</si>
  <si>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</si>
  <si>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</si>
  <si>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</si>
  <si>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</si>
  <si>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</si>
  <si>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</si>
  <si>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</si>
  <si>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</si>
  <si>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</si>
  <si>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</si>
  <si>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</si>
  <si>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</si>
  <si>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</si>
  <si>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</si>
  <si>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</si>
  <si>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</si>
  <si>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</si>
  <si>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</si>
  <si>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</si>
  <si>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</si>
  <si>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</si>
  <si>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</si>
  <si>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</si>
  <si>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</si>
  <si>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</si>
  <si>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</si>
  <si>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</si>
  <si>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</si>
  <si>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</si>
  <si>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</si>
  <si>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</si>
  <si>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</si>
  <si>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</si>
  <si>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</si>
  <si>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</si>
  <si>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</si>
  <si>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</si>
  <si>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</si>
  <si>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</si>
  <si>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</si>
  <si>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</si>
  <si>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</si>
  <si>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</si>
  <si>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</si>
  <si>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</si>
  <si>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</si>
  <si>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</si>
  <si>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</si>
  <si>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</si>
  <si>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</si>
  <si>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</si>
  <si>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</si>
  <si>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</si>
  <si>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</si>
  <si>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</si>
  <si>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</si>
  <si>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</si>
  <si>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</si>
  <si>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</si>
  <si>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</si>
  <si>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</si>
  <si>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</si>
  <si>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</si>
  <si>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</si>
  <si>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</si>
  <si>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</si>
  <si>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</si>
  <si>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</si>
  <si>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</si>
  <si>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</si>
  <si>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</si>
  <si>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</si>
  <si>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</si>
  <si>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</si>
  <si>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</si>
  <si>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</si>
  <si>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</si>
  <si>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</si>
  <si>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</si>
  <si>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</si>
  <si>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</si>
  <si>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</si>
  <si>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</si>
  <si>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</si>
  <si>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</si>
  <si>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</si>
  <si>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</si>
  <si>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</si>
  <si>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</si>
  <si>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</si>
  <si>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</si>
  <si>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</si>
  <si>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</si>
  <si>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</si>
  <si>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</si>
  <si>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</si>
  <si>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</si>
  <si>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</si>
  <si>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</si>
  <si>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</si>
  <si>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</si>
  <si>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</si>
  <si>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</si>
  <si>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</si>
  <si>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</si>
  <si>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</si>
  <si>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</si>
  <si>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</si>
  <si>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</si>
  <si>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</si>
  <si>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</si>
  <si>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</si>
  <si>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</si>
  <si>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</si>
  <si>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</si>
  <si>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</si>
  <si>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</si>
  <si>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</si>
  <si>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</si>
  <si>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</si>
  <si>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</si>
  <si>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</si>
  <si>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</si>
  <si>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</si>
  <si>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</si>
  <si>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</si>
  <si>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</si>
  <si>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</si>
  <si>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</si>
  <si>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</si>
  <si>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</si>
  <si>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</si>
  <si>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</si>
  <si>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</si>
  <si>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</si>
  <si>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</si>
  <si>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</si>
  <si>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</si>
  <si>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</si>
  <si>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</si>
  <si>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</si>
  <si>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</si>
  <si>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</si>
  <si>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</si>
  <si>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</si>
  <si>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</si>
  <si>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</si>
  <si>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</si>
  <si>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</si>
  <si>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</si>
  <si>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</si>
  <si>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</si>
  <si>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</si>
  <si>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</si>
  <si>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</si>
  <si>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</si>
  <si>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</si>
  <si>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</si>
  <si>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</si>
  <si>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</si>
  <si>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</si>
  <si>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</si>
  <si>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</si>
  <si>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</si>
  <si>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</si>
  <si>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</si>
  <si>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</si>
  <si>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</si>
  <si>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</si>
  <si>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</si>
  <si>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</si>
  <si>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</si>
  <si>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</si>
  <si>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</si>
  <si>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</si>
  <si>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</si>
  <si>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</si>
  <si>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</si>
  <si>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</si>
  <si>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</si>
  <si>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</si>
  <si>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</si>
  <si>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</si>
  <si>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</si>
  <si>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</si>
  <si>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</si>
  <si>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</si>
  <si>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</si>
  <si>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</si>
  <si>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</si>
  <si>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</si>
  <si>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</si>
  <si>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</si>
  <si>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</si>
  <si>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</si>
  <si>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</si>
  <si>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</si>
  <si>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</si>
  <si>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</si>
  <si>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</si>
  <si>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</si>
  <si>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</si>
  <si>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к   решению "О бюджете муниципального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</si>
</sst>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63" fillId="38" borderId="10" xfId="0" applyFont="1" applyFill="1" applyBorder="1" applyAlignment="1">
      <alignment vertical="top" wrapText="1"/>
    </xf>
    <xf numFmtId="0" fontId="11" fillId="38" borderId="0" xfId="0" applyFont="1" applyFill="1" applyAlignment="1">
      <alignment horizontal="right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4" fontId="20" fillId="41" borderId="10" xfId="5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7" t="s">
        <v>358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">
      <c r="A2" s="137" t="s">
        <v>359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">
      <c r="A3" s="137" t="s">
        <v>270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5" customHeight="1">
      <c r="A4" s="138" t="s">
        <v>360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23.25" customHeight="1">
      <c r="A5" s="140" t="s">
        <v>55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27" customHeight="1">
      <c r="A6" s="141" t="s">
        <v>387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2" t="s">
        <v>54</v>
      </c>
      <c r="B787" s="142"/>
      <c r="C787" s="142"/>
      <c r="D787" s="142"/>
      <c r="E787" s="142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3"/>
      <c r="B788" s="143"/>
      <c r="C788" s="143"/>
      <c r="D788" s="143"/>
      <c r="E788" s="143"/>
      <c r="M788" s="10"/>
    </row>
    <row r="789" spans="1:26" s="6" customFormat="1" ht="18.75" customHeight="1">
      <c r="A789" s="144"/>
      <c r="B789" s="144"/>
      <c r="C789" s="144"/>
      <c r="D789" s="144"/>
      <c r="E789" s="144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39"/>
      <c r="B790" s="139"/>
      <c r="C790" s="139"/>
      <c r="D790" s="139"/>
      <c r="E790" s="139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4"/>
      <c r="B791" s="144"/>
      <c r="C791" s="144"/>
      <c r="D791" s="144"/>
      <c r="E791" s="144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39"/>
      <c r="B792" s="139"/>
      <c r="C792" s="139"/>
      <c r="D792" s="139"/>
      <c r="E792" s="139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6"/>
      <c r="B793" s="146"/>
      <c r="C793" s="145"/>
      <c r="D793" s="145"/>
      <c r="E793" s="145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7"/>
      <c r="B794" s="147"/>
      <c r="C794" s="145"/>
      <c r="D794" s="145"/>
      <c r="E794" s="145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5"/>
      <c r="B795" s="145"/>
      <c r="C795" s="145"/>
      <c r="D795" s="145"/>
      <c r="E795" s="145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8"/>
  <sheetViews>
    <sheetView view="pageBreakPreview" zoomScaleSheetLayoutView="100" zoomScalePageLayoutView="0" workbookViewId="0" topLeftCell="A7">
      <selection activeCell="B639" sqref="B639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375" style="73" customWidth="1"/>
    <col min="5" max="5" width="11.00390625" style="73" customWidth="1"/>
    <col min="6" max="6" width="7.75390625" style="73" customWidth="1"/>
    <col min="7" max="7" width="14.00390625" style="64" hidden="1" customWidth="1"/>
    <col min="8" max="8" width="15.125" style="64" customWidth="1"/>
    <col min="9" max="9" width="15.375" style="64" customWidth="1"/>
    <col min="10" max="10" width="6.25390625" style="64" customWidth="1"/>
    <col min="11" max="16384" width="9.125" style="73" customWidth="1"/>
  </cols>
  <sheetData>
    <row r="1" spans="4:10" s="89" customFormat="1" ht="15" hidden="1">
      <c r="D1" s="149" t="s">
        <v>358</v>
      </c>
      <c r="E1" s="149"/>
      <c r="F1" s="149"/>
      <c r="G1" s="149"/>
      <c r="H1" s="149"/>
      <c r="I1" s="149"/>
      <c r="J1" s="122"/>
    </row>
    <row r="2" spans="4:10" s="89" customFormat="1" ht="15" hidden="1">
      <c r="D2" s="149" t="s">
        <v>1000</v>
      </c>
      <c r="E2" s="149"/>
      <c r="F2" s="149"/>
      <c r="G2" s="149"/>
      <c r="H2" s="149"/>
      <c r="I2" s="149"/>
      <c r="J2" s="122"/>
    </row>
    <row r="3" spans="2:10" s="89" customFormat="1" ht="15" hidden="1">
      <c r="B3" s="122"/>
      <c r="C3" s="122"/>
      <c r="D3" s="149" t="s">
        <v>1001</v>
      </c>
      <c r="E3" s="149"/>
      <c r="F3" s="149"/>
      <c r="G3" s="149"/>
      <c r="H3" s="149"/>
      <c r="I3" s="149"/>
      <c r="J3" s="122"/>
    </row>
    <row r="4" spans="3:10" s="89" customFormat="1" ht="15" hidden="1">
      <c r="C4" s="148" t="s">
        <v>1148</v>
      </c>
      <c r="D4" s="148"/>
      <c r="E4" s="148"/>
      <c r="F4" s="148"/>
      <c r="G4" s="148"/>
      <c r="H4" s="148"/>
      <c r="I4" s="148"/>
      <c r="J4" s="124"/>
    </row>
    <row r="5" spans="3:10" s="89" customFormat="1" ht="15" hidden="1">
      <c r="C5" s="148" t="s">
        <v>1149</v>
      </c>
      <c r="D5" s="148"/>
      <c r="E5" s="148"/>
      <c r="F5" s="148"/>
      <c r="G5" s="148"/>
      <c r="H5" s="148"/>
      <c r="I5" s="148"/>
      <c r="J5" s="124"/>
    </row>
    <row r="6" spans="4:10" s="89" customFormat="1" ht="15" hidden="1">
      <c r="D6" s="124"/>
      <c r="E6" s="124"/>
      <c r="F6" s="124"/>
      <c r="G6" s="124"/>
      <c r="H6" s="124"/>
      <c r="I6" s="124"/>
      <c r="J6" s="124"/>
    </row>
    <row r="7" spans="1:10" s="87" customFormat="1" ht="15">
      <c r="A7" s="122"/>
      <c r="B7" s="122"/>
      <c r="C7" s="149" t="s">
        <v>1308</v>
      </c>
      <c r="D7" s="149"/>
      <c r="E7" s="149"/>
      <c r="F7" s="149"/>
      <c r="G7" s="149"/>
      <c r="H7" s="149"/>
      <c r="I7" s="149"/>
      <c r="J7" s="122"/>
    </row>
    <row r="8" spans="1:10" s="87" customFormat="1" ht="15">
      <c r="A8" s="122"/>
      <c r="B8" s="122"/>
      <c r="C8" s="149" t="s">
        <v>1423</v>
      </c>
      <c r="D8" s="149"/>
      <c r="E8" s="149"/>
      <c r="F8" s="149"/>
      <c r="G8" s="149"/>
      <c r="H8" s="149"/>
      <c r="I8" s="149"/>
      <c r="J8" s="122"/>
    </row>
    <row r="9" spans="1:10" s="87" customFormat="1" ht="15">
      <c r="A9" s="122"/>
      <c r="B9" s="122"/>
      <c r="C9" s="149" t="s">
        <v>1150</v>
      </c>
      <c r="D9" s="149"/>
      <c r="E9" s="149"/>
      <c r="F9" s="149"/>
      <c r="G9" s="149"/>
      <c r="H9" s="149"/>
      <c r="I9" s="149"/>
      <c r="J9" s="122"/>
    </row>
    <row r="10" spans="1:10" s="87" customFormat="1" ht="15">
      <c r="A10" s="122"/>
      <c r="B10" s="122"/>
      <c r="C10" s="150" t="s">
        <v>1151</v>
      </c>
      <c r="D10" s="150"/>
      <c r="E10" s="150"/>
      <c r="F10" s="150"/>
      <c r="G10" s="150"/>
      <c r="H10" s="150"/>
      <c r="I10" s="150"/>
      <c r="J10" s="123"/>
    </row>
    <row r="11" spans="1:10" s="89" customFormat="1" ht="15">
      <c r="A11" s="122"/>
      <c r="B11" s="122"/>
      <c r="D11" s="122"/>
      <c r="E11" s="122"/>
      <c r="F11" s="122"/>
      <c r="G11" s="149"/>
      <c r="H11" s="149"/>
      <c r="I11" s="122"/>
      <c r="J11" s="122"/>
    </row>
    <row r="12" spans="2:8" ht="66" customHeight="1">
      <c r="B12" s="154" t="s">
        <v>1152</v>
      </c>
      <c r="C12" s="154"/>
      <c r="D12" s="154"/>
      <c r="E12" s="154"/>
      <c r="F12" s="154"/>
      <c r="G12" s="154"/>
      <c r="H12" s="154"/>
    </row>
    <row r="13" spans="1:8" ht="18.75" hidden="1">
      <c r="A13" s="74"/>
      <c r="B13" s="155" t="s">
        <v>966</v>
      </c>
      <c r="C13" s="155"/>
      <c r="D13" s="155"/>
      <c r="E13" s="155"/>
      <c r="F13" s="155"/>
      <c r="G13" s="155"/>
      <c r="H13" s="155"/>
    </row>
    <row r="14" spans="2:10" ht="31.5">
      <c r="B14" s="117" t="s">
        <v>631</v>
      </c>
      <c r="C14" s="117" t="s">
        <v>632</v>
      </c>
      <c r="D14" s="117" t="s">
        <v>633</v>
      </c>
      <c r="E14" s="117" t="s">
        <v>634</v>
      </c>
      <c r="F14" s="117" t="s">
        <v>635</v>
      </c>
      <c r="G14" s="117" t="s">
        <v>1046</v>
      </c>
      <c r="H14" s="117" t="s">
        <v>1051</v>
      </c>
      <c r="I14" s="117" t="s">
        <v>1050</v>
      </c>
      <c r="J14" s="92"/>
    </row>
    <row r="15" spans="2:10" ht="12.75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/>
      <c r="H15" s="75" t="s">
        <v>406</v>
      </c>
      <c r="I15" s="75" t="s">
        <v>56</v>
      </c>
      <c r="J15" s="93"/>
    </row>
    <row r="16" spans="2:10" s="133" customFormat="1" ht="12.75">
      <c r="B16" s="127" t="s">
        <v>949</v>
      </c>
      <c r="C16" s="117" t="s">
        <v>637</v>
      </c>
      <c r="D16" s="128"/>
      <c r="E16" s="128"/>
      <c r="F16" s="117"/>
      <c r="G16" s="129">
        <f>G17+G24+G46+G75+G115+G119+G123+G79</f>
        <v>37452042</v>
      </c>
      <c r="H16" s="129">
        <f>H17+H24+H46+H75+H115+H119+H123+H79</f>
        <v>17488350.37</v>
      </c>
      <c r="I16" s="129">
        <f aca="true" t="shared" si="0" ref="I16:I45">G16+H16</f>
        <v>54940392.370000005</v>
      </c>
      <c r="J16" s="135"/>
    </row>
    <row r="17" spans="2:10" s="133" customFormat="1" ht="24">
      <c r="B17" s="127" t="s">
        <v>410</v>
      </c>
      <c r="C17" s="117" t="s">
        <v>637</v>
      </c>
      <c r="D17" s="128" t="s">
        <v>638</v>
      </c>
      <c r="E17" s="128"/>
      <c r="F17" s="117"/>
      <c r="G17" s="129">
        <f aca="true" t="shared" si="1" ref="G17:H20">G18</f>
        <v>1403636</v>
      </c>
      <c r="H17" s="129">
        <f t="shared" si="1"/>
        <v>15544</v>
      </c>
      <c r="I17" s="129">
        <f t="shared" si="0"/>
        <v>1419180</v>
      </c>
      <c r="J17" s="135"/>
    </row>
    <row r="18" spans="2:9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79">
        <f t="shared" si="1"/>
        <v>1403636</v>
      </c>
      <c r="H18" s="79">
        <f t="shared" si="1"/>
        <v>15544</v>
      </c>
      <c r="I18" s="79">
        <f t="shared" si="0"/>
        <v>1419180</v>
      </c>
    </row>
    <row r="19" spans="2:9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79">
        <f>G20+G22</f>
        <v>1403636</v>
      </c>
      <c r="H19" s="79">
        <f>H20+H22</f>
        <v>15544</v>
      </c>
      <c r="I19" s="79">
        <f t="shared" si="0"/>
        <v>1419180</v>
      </c>
    </row>
    <row r="20" spans="2:9" ht="22.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79">
        <f t="shared" si="1"/>
        <v>1403636</v>
      </c>
      <c r="H20" s="79">
        <f t="shared" si="1"/>
        <v>-1403636</v>
      </c>
      <c r="I20" s="79">
        <f t="shared" si="0"/>
        <v>0</v>
      </c>
    </row>
    <row r="21" spans="2:9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79">
        <v>1403636</v>
      </c>
      <c r="H21" s="79">
        <f>-1403636</f>
        <v>-1403636</v>
      </c>
      <c r="I21" s="79">
        <f t="shared" si="0"/>
        <v>0</v>
      </c>
    </row>
    <row r="22" spans="2:9" ht="12.75">
      <c r="B22" s="88" t="s">
        <v>621</v>
      </c>
      <c r="C22" s="77" t="s">
        <v>637</v>
      </c>
      <c r="D22" s="78" t="s">
        <v>638</v>
      </c>
      <c r="E22" s="78" t="s">
        <v>1414</v>
      </c>
      <c r="F22" s="77"/>
      <c r="G22" s="79">
        <f>G23</f>
        <v>0</v>
      </c>
      <c r="H22" s="79">
        <f>H23</f>
        <v>1419180</v>
      </c>
      <c r="I22" s="79">
        <f t="shared" si="0"/>
        <v>1419180</v>
      </c>
    </row>
    <row r="23" spans="2:9" ht="48">
      <c r="B23" s="88" t="s">
        <v>765</v>
      </c>
      <c r="C23" s="77" t="s">
        <v>637</v>
      </c>
      <c r="D23" s="78" t="s">
        <v>638</v>
      </c>
      <c r="E23" s="78" t="s">
        <v>1414</v>
      </c>
      <c r="F23" s="77" t="s">
        <v>733</v>
      </c>
      <c r="G23" s="79">
        <v>0</v>
      </c>
      <c r="H23" s="79">
        <f>1090000+329180</f>
        <v>1419180</v>
      </c>
      <c r="I23" s="79">
        <f t="shared" si="0"/>
        <v>1419180</v>
      </c>
    </row>
    <row r="24" spans="2:10" s="133" customFormat="1" ht="45" customHeight="1">
      <c r="B24" s="127" t="s">
        <v>416</v>
      </c>
      <c r="C24" s="117" t="s">
        <v>637</v>
      </c>
      <c r="D24" s="128" t="s">
        <v>639</v>
      </c>
      <c r="E24" s="128"/>
      <c r="F24" s="117"/>
      <c r="G24" s="129">
        <f>G25</f>
        <v>1223463</v>
      </c>
      <c r="H24" s="129">
        <f>H25</f>
        <v>-83403</v>
      </c>
      <c r="I24" s="129">
        <f t="shared" si="0"/>
        <v>1140060</v>
      </c>
      <c r="J24" s="135"/>
    </row>
    <row r="25" spans="2:9" ht="12.75">
      <c r="B25" s="88" t="s">
        <v>807</v>
      </c>
      <c r="C25" s="77" t="s">
        <v>637</v>
      </c>
      <c r="D25" s="78" t="s">
        <v>639</v>
      </c>
      <c r="E25" s="78" t="s">
        <v>783</v>
      </c>
      <c r="F25" s="77"/>
      <c r="G25" s="79">
        <f>G26</f>
        <v>1223463</v>
      </c>
      <c r="H25" s="79">
        <f>H26</f>
        <v>-83403</v>
      </c>
      <c r="I25" s="79">
        <f t="shared" si="0"/>
        <v>1140060</v>
      </c>
    </row>
    <row r="26" spans="2:9" ht="12.75">
      <c r="B26" s="88" t="s">
        <v>1064</v>
      </c>
      <c r="C26" s="77" t="s">
        <v>637</v>
      </c>
      <c r="D26" s="78" t="s">
        <v>639</v>
      </c>
      <c r="E26" s="78" t="s">
        <v>784</v>
      </c>
      <c r="F26" s="77"/>
      <c r="G26" s="79">
        <f>G27+G33+G35+G37+G44</f>
        <v>1223463</v>
      </c>
      <c r="H26" s="79">
        <f>H27+H33+H35+H37+H44</f>
        <v>-83403</v>
      </c>
      <c r="I26" s="79">
        <f t="shared" si="0"/>
        <v>1140060</v>
      </c>
    </row>
    <row r="27" spans="2:9" ht="22.5">
      <c r="B27" s="88" t="s">
        <v>810</v>
      </c>
      <c r="C27" s="77" t="s">
        <v>637</v>
      </c>
      <c r="D27" s="78" t="s">
        <v>639</v>
      </c>
      <c r="E27" s="78" t="s">
        <v>731</v>
      </c>
      <c r="F27" s="77"/>
      <c r="G27" s="79">
        <f>G30+G28</f>
        <v>1223463</v>
      </c>
      <c r="H27" s="79">
        <f>H30+H28</f>
        <v>-1223463</v>
      </c>
      <c r="I27" s="79">
        <f t="shared" si="0"/>
        <v>0</v>
      </c>
    </row>
    <row r="28" spans="2:9" ht="24">
      <c r="B28" s="88" t="s">
        <v>1121</v>
      </c>
      <c r="C28" s="77" t="s">
        <v>637</v>
      </c>
      <c r="D28" s="78" t="s">
        <v>639</v>
      </c>
      <c r="E28" s="78" t="s">
        <v>1098</v>
      </c>
      <c r="F28" s="77"/>
      <c r="G28" s="79">
        <f>G29</f>
        <v>458141</v>
      </c>
      <c r="H28" s="79">
        <f>H29</f>
        <v>-458141</v>
      </c>
      <c r="I28" s="79">
        <f t="shared" si="0"/>
        <v>0</v>
      </c>
    </row>
    <row r="29" spans="2:9" ht="48">
      <c r="B29" s="88" t="s">
        <v>765</v>
      </c>
      <c r="C29" s="77" t="s">
        <v>637</v>
      </c>
      <c r="D29" s="78" t="s">
        <v>639</v>
      </c>
      <c r="E29" s="78" t="s">
        <v>1098</v>
      </c>
      <c r="F29" s="77" t="s">
        <v>733</v>
      </c>
      <c r="G29" s="79">
        <v>458141</v>
      </c>
      <c r="H29" s="79">
        <f>-458141</f>
        <v>-458141</v>
      </c>
      <c r="I29" s="79">
        <f t="shared" si="0"/>
        <v>0</v>
      </c>
    </row>
    <row r="30" spans="2:9" ht="22.5">
      <c r="B30" s="88" t="s">
        <v>812</v>
      </c>
      <c r="C30" s="77" t="s">
        <v>637</v>
      </c>
      <c r="D30" s="78" t="s">
        <v>639</v>
      </c>
      <c r="E30" s="78" t="s">
        <v>652</v>
      </c>
      <c r="F30" s="77"/>
      <c r="G30" s="79">
        <f>G31+G32</f>
        <v>765322</v>
      </c>
      <c r="H30" s="79">
        <f>H31+H32</f>
        <v>-765322</v>
      </c>
      <c r="I30" s="79">
        <f t="shared" si="0"/>
        <v>0</v>
      </c>
    </row>
    <row r="31" spans="2:9" ht="48">
      <c r="B31" s="88" t="s">
        <v>765</v>
      </c>
      <c r="C31" s="77" t="s">
        <v>637</v>
      </c>
      <c r="D31" s="78" t="s">
        <v>639</v>
      </c>
      <c r="E31" s="78" t="s">
        <v>652</v>
      </c>
      <c r="F31" s="77">
        <v>100</v>
      </c>
      <c r="G31" s="79">
        <v>765322</v>
      </c>
      <c r="H31" s="79">
        <f>-765322</f>
        <v>-765322</v>
      </c>
      <c r="I31" s="79">
        <f t="shared" si="0"/>
        <v>0</v>
      </c>
    </row>
    <row r="32" spans="2:9" ht="24" hidden="1">
      <c r="B32" s="88" t="s">
        <v>766</v>
      </c>
      <c r="C32" s="77" t="s">
        <v>637</v>
      </c>
      <c r="D32" s="78" t="s">
        <v>639</v>
      </c>
      <c r="E32" s="78" t="s">
        <v>652</v>
      </c>
      <c r="F32" s="77">
        <v>200</v>
      </c>
      <c r="G32" s="79">
        <v>0</v>
      </c>
      <c r="H32" s="79">
        <v>0</v>
      </c>
      <c r="I32" s="79">
        <f t="shared" si="0"/>
        <v>0</v>
      </c>
    </row>
    <row r="33" spans="2:9" ht="22.5" hidden="1">
      <c r="B33" s="88" t="s">
        <v>418</v>
      </c>
      <c r="C33" s="77" t="s">
        <v>637</v>
      </c>
      <c r="D33" s="78" t="s">
        <v>639</v>
      </c>
      <c r="E33" s="78" t="s">
        <v>650</v>
      </c>
      <c r="F33" s="77"/>
      <c r="G33" s="79">
        <f>G34</f>
        <v>0</v>
      </c>
      <c r="H33" s="79">
        <f>H34</f>
        <v>0</v>
      </c>
      <c r="I33" s="79">
        <f t="shared" si="0"/>
        <v>0</v>
      </c>
    </row>
    <row r="34" spans="2:9" ht="48" hidden="1">
      <c r="B34" s="88" t="s">
        <v>765</v>
      </c>
      <c r="C34" s="77" t="s">
        <v>637</v>
      </c>
      <c r="D34" s="78" t="s">
        <v>639</v>
      </c>
      <c r="E34" s="78" t="s">
        <v>650</v>
      </c>
      <c r="F34" s="77">
        <v>100</v>
      </c>
      <c r="G34" s="79">
        <v>0</v>
      </c>
      <c r="H34" s="79">
        <v>0</v>
      </c>
      <c r="I34" s="79">
        <f t="shared" si="0"/>
        <v>0</v>
      </c>
    </row>
    <row r="35" spans="2:9" ht="22.5" hidden="1">
      <c r="B35" s="88" t="s">
        <v>420</v>
      </c>
      <c r="C35" s="77" t="s">
        <v>637</v>
      </c>
      <c r="D35" s="78" t="s">
        <v>639</v>
      </c>
      <c r="E35" s="78" t="s">
        <v>651</v>
      </c>
      <c r="F35" s="77"/>
      <c r="G35" s="79">
        <f>G36</f>
        <v>0</v>
      </c>
      <c r="H35" s="79">
        <f>H36</f>
        <v>0</v>
      </c>
      <c r="I35" s="79">
        <f t="shared" si="0"/>
        <v>0</v>
      </c>
    </row>
    <row r="36" spans="1:9" ht="48" hidden="1">
      <c r="A36" s="81"/>
      <c r="B36" s="88" t="s">
        <v>765</v>
      </c>
      <c r="C36" s="77" t="s">
        <v>637</v>
      </c>
      <c r="D36" s="78" t="s">
        <v>639</v>
      </c>
      <c r="E36" s="78" t="s">
        <v>651</v>
      </c>
      <c r="F36" s="77">
        <v>100</v>
      </c>
      <c r="G36" s="79">
        <v>0</v>
      </c>
      <c r="H36" s="79">
        <v>0</v>
      </c>
      <c r="I36" s="79">
        <f t="shared" si="0"/>
        <v>0</v>
      </c>
    </row>
    <row r="37" spans="1:9" ht="12.75">
      <c r="A37" s="81"/>
      <c r="B37" s="88" t="s">
        <v>810</v>
      </c>
      <c r="C37" s="77" t="s">
        <v>637</v>
      </c>
      <c r="D37" s="78" t="s">
        <v>639</v>
      </c>
      <c r="E37" s="78" t="s">
        <v>1415</v>
      </c>
      <c r="F37" s="77"/>
      <c r="G37" s="79">
        <f>G38+G40</f>
        <v>0</v>
      </c>
      <c r="H37" s="79">
        <f>H38+H40</f>
        <v>912060</v>
      </c>
      <c r="I37" s="79">
        <f t="shared" si="0"/>
        <v>912060</v>
      </c>
    </row>
    <row r="38" spans="1:9" ht="24">
      <c r="A38" s="81"/>
      <c r="B38" s="88" t="s">
        <v>1121</v>
      </c>
      <c r="C38" s="77" t="s">
        <v>637</v>
      </c>
      <c r="D38" s="78" t="s">
        <v>639</v>
      </c>
      <c r="E38" s="78" t="s">
        <v>1416</v>
      </c>
      <c r="F38" s="77"/>
      <c r="G38" s="79">
        <f>G39</f>
        <v>0</v>
      </c>
      <c r="H38" s="79">
        <f>H39</f>
        <v>440080</v>
      </c>
      <c r="I38" s="79">
        <f t="shared" si="0"/>
        <v>440080</v>
      </c>
    </row>
    <row r="39" spans="1:9" ht="48">
      <c r="A39" s="81"/>
      <c r="B39" s="88" t="s">
        <v>765</v>
      </c>
      <c r="C39" s="77" t="s">
        <v>637</v>
      </c>
      <c r="D39" s="78" t="s">
        <v>639</v>
      </c>
      <c r="E39" s="78" t="s">
        <v>1416</v>
      </c>
      <c r="F39" s="77" t="s">
        <v>733</v>
      </c>
      <c r="G39" s="79">
        <v>0</v>
      </c>
      <c r="H39" s="79">
        <f>338000+102080</f>
        <v>440080</v>
      </c>
      <c r="I39" s="79">
        <f t="shared" si="0"/>
        <v>440080</v>
      </c>
    </row>
    <row r="40" spans="1:9" ht="12.75">
      <c r="A40" s="81"/>
      <c r="B40" s="88" t="s">
        <v>812</v>
      </c>
      <c r="C40" s="77" t="s">
        <v>637</v>
      </c>
      <c r="D40" s="78" t="s">
        <v>639</v>
      </c>
      <c r="E40" s="78" t="s">
        <v>1417</v>
      </c>
      <c r="F40" s="77"/>
      <c r="G40" s="79">
        <f>G41+G42+G43</f>
        <v>0</v>
      </c>
      <c r="H40" s="79">
        <f>H41+H42+H43</f>
        <v>471980</v>
      </c>
      <c r="I40" s="79">
        <f t="shared" si="0"/>
        <v>471980</v>
      </c>
    </row>
    <row r="41" spans="1:9" ht="48">
      <c r="A41" s="81"/>
      <c r="B41" s="88" t="s">
        <v>765</v>
      </c>
      <c r="C41" s="77" t="s">
        <v>637</v>
      </c>
      <c r="D41" s="78" t="s">
        <v>639</v>
      </c>
      <c r="E41" s="78" t="s">
        <v>1417</v>
      </c>
      <c r="F41" s="77">
        <v>100</v>
      </c>
      <c r="G41" s="79">
        <v>0</v>
      </c>
      <c r="H41" s="79">
        <f>306900+92680</f>
        <v>399580</v>
      </c>
      <c r="I41" s="79">
        <f t="shared" si="0"/>
        <v>399580</v>
      </c>
    </row>
    <row r="42" spans="1:9" ht="24">
      <c r="A42" s="81"/>
      <c r="B42" s="88" t="s">
        <v>766</v>
      </c>
      <c r="C42" s="77" t="s">
        <v>637</v>
      </c>
      <c r="D42" s="78" t="s">
        <v>639</v>
      </c>
      <c r="E42" s="78" t="s">
        <v>1417</v>
      </c>
      <c r="F42" s="77">
        <v>200</v>
      </c>
      <c r="G42" s="79">
        <v>0</v>
      </c>
      <c r="H42" s="79">
        <f>25000+5400+5000+25000</f>
        <v>60400</v>
      </c>
      <c r="I42" s="79">
        <f t="shared" si="0"/>
        <v>60400</v>
      </c>
    </row>
    <row r="43" spans="1:9" ht="12.75">
      <c r="A43" s="81"/>
      <c r="B43" s="88" t="s">
        <v>769</v>
      </c>
      <c r="C43" s="77" t="s">
        <v>637</v>
      </c>
      <c r="D43" s="78" t="s">
        <v>639</v>
      </c>
      <c r="E43" s="78" t="s">
        <v>1417</v>
      </c>
      <c r="F43" s="77" t="s">
        <v>967</v>
      </c>
      <c r="G43" s="79">
        <v>0</v>
      </c>
      <c r="H43" s="79">
        <f>12000</f>
        <v>12000</v>
      </c>
      <c r="I43" s="79">
        <f t="shared" si="0"/>
        <v>12000</v>
      </c>
    </row>
    <row r="44" spans="1:9" ht="12.75">
      <c r="A44" s="81"/>
      <c r="B44" s="88" t="s">
        <v>420</v>
      </c>
      <c r="C44" s="77" t="s">
        <v>637</v>
      </c>
      <c r="D44" s="78" t="s">
        <v>639</v>
      </c>
      <c r="E44" s="78" t="s">
        <v>1418</v>
      </c>
      <c r="F44" s="77"/>
      <c r="G44" s="79">
        <f>G45</f>
        <v>0</v>
      </c>
      <c r="H44" s="79">
        <f>H45</f>
        <v>228000</v>
      </c>
      <c r="I44" s="79">
        <f t="shared" si="0"/>
        <v>228000</v>
      </c>
    </row>
    <row r="45" spans="1:9" ht="48">
      <c r="A45" s="81"/>
      <c r="B45" s="88" t="s">
        <v>765</v>
      </c>
      <c r="C45" s="77" t="s">
        <v>637</v>
      </c>
      <c r="D45" s="78" t="s">
        <v>639</v>
      </c>
      <c r="E45" s="78" t="s">
        <v>1418</v>
      </c>
      <c r="F45" s="77">
        <v>100</v>
      </c>
      <c r="G45" s="79">
        <v>0</v>
      </c>
      <c r="H45" s="79">
        <f>12000+216000</f>
        <v>228000</v>
      </c>
      <c r="I45" s="79">
        <f t="shared" si="0"/>
        <v>228000</v>
      </c>
    </row>
    <row r="46" spans="2:10" s="133" customFormat="1" ht="36">
      <c r="B46" s="127" t="s">
        <v>422</v>
      </c>
      <c r="C46" s="117" t="s">
        <v>637</v>
      </c>
      <c r="D46" s="128" t="s">
        <v>640</v>
      </c>
      <c r="E46" s="128"/>
      <c r="F46" s="117"/>
      <c r="G46" s="129">
        <f>G47</f>
        <v>14633625</v>
      </c>
      <c r="H46" s="129">
        <f>H47</f>
        <v>2734622</v>
      </c>
      <c r="I46" s="129">
        <f aca="true" t="shared" si="2" ref="I46:I145">G46+H46</f>
        <v>17368247</v>
      </c>
      <c r="J46" s="134"/>
    </row>
    <row r="47" spans="2:10" ht="12.75">
      <c r="B47" s="88" t="s">
        <v>807</v>
      </c>
      <c r="C47" s="77" t="s">
        <v>637</v>
      </c>
      <c r="D47" s="78" t="s">
        <v>640</v>
      </c>
      <c r="E47" s="78" t="s">
        <v>783</v>
      </c>
      <c r="F47" s="77"/>
      <c r="G47" s="79">
        <f>G48+G54+G57+G51</f>
        <v>14633625</v>
      </c>
      <c r="H47" s="79">
        <f>H48+H54+H57+H51</f>
        <v>2734622</v>
      </c>
      <c r="I47" s="79">
        <f t="shared" si="2"/>
        <v>17368247</v>
      </c>
      <c r="J47" s="95"/>
    </row>
    <row r="48" spans="2:10" ht="36" hidden="1">
      <c r="B48" s="88" t="s">
        <v>819</v>
      </c>
      <c r="C48" s="77" t="s">
        <v>637</v>
      </c>
      <c r="D48" s="78" t="s">
        <v>640</v>
      </c>
      <c r="E48" s="78" t="s">
        <v>653</v>
      </c>
      <c r="F48" s="77"/>
      <c r="G48" s="79">
        <f>G50+G49</f>
        <v>0</v>
      </c>
      <c r="H48" s="79">
        <f>H50+H49</f>
        <v>0</v>
      </c>
      <c r="I48" s="79">
        <f t="shared" si="2"/>
        <v>0</v>
      </c>
      <c r="J48" s="95"/>
    </row>
    <row r="49" spans="2:10" ht="48" hidden="1">
      <c r="B49" s="88" t="s">
        <v>765</v>
      </c>
      <c r="C49" s="77" t="s">
        <v>637</v>
      </c>
      <c r="D49" s="78" t="s">
        <v>640</v>
      </c>
      <c r="E49" s="78" t="s">
        <v>653</v>
      </c>
      <c r="F49" s="77" t="s">
        <v>733</v>
      </c>
      <c r="G49" s="79">
        <v>0</v>
      </c>
      <c r="H49" s="79">
        <v>0</v>
      </c>
      <c r="I49" s="79">
        <f t="shared" si="2"/>
        <v>0</v>
      </c>
      <c r="J49" s="95"/>
    </row>
    <row r="50" spans="2:10" ht="24" hidden="1">
      <c r="B50" s="88" t="s">
        <v>766</v>
      </c>
      <c r="C50" s="77" t="s">
        <v>637</v>
      </c>
      <c r="D50" s="78" t="s">
        <v>640</v>
      </c>
      <c r="E50" s="78" t="s">
        <v>653</v>
      </c>
      <c r="F50" s="77">
        <v>200</v>
      </c>
      <c r="G50" s="79">
        <v>0</v>
      </c>
      <c r="H50" s="79">
        <v>0</v>
      </c>
      <c r="I50" s="79">
        <f t="shared" si="2"/>
        <v>0</v>
      </c>
      <c r="J50" s="95"/>
    </row>
    <row r="51" spans="2:10" ht="48">
      <c r="B51" s="88" t="s">
        <v>1160</v>
      </c>
      <c r="C51" s="77" t="s">
        <v>637</v>
      </c>
      <c r="D51" s="78" t="s">
        <v>640</v>
      </c>
      <c r="E51" s="78" t="s">
        <v>699</v>
      </c>
      <c r="F51" s="77"/>
      <c r="G51" s="79">
        <f>G52+G53</f>
        <v>78300</v>
      </c>
      <c r="H51" s="79">
        <f>H52+H53</f>
        <v>10300</v>
      </c>
      <c r="I51" s="79">
        <f t="shared" si="2"/>
        <v>88600</v>
      </c>
      <c r="J51" s="95"/>
    </row>
    <row r="52" spans="2:10" ht="48">
      <c r="B52" s="88" t="s">
        <v>765</v>
      </c>
      <c r="C52" s="77" t="s">
        <v>637</v>
      </c>
      <c r="D52" s="78" t="s">
        <v>640</v>
      </c>
      <c r="E52" s="78" t="s">
        <v>699</v>
      </c>
      <c r="F52" s="77" t="s">
        <v>733</v>
      </c>
      <c r="G52" s="79">
        <v>78300</v>
      </c>
      <c r="H52" s="79">
        <f>-78300+60190+18180</f>
        <v>70</v>
      </c>
      <c r="I52" s="79">
        <f t="shared" si="2"/>
        <v>78370</v>
      </c>
      <c r="J52" s="95"/>
    </row>
    <row r="53" spans="2:10" ht="24">
      <c r="B53" s="88" t="s">
        <v>766</v>
      </c>
      <c r="C53" s="77" t="s">
        <v>637</v>
      </c>
      <c r="D53" s="78" t="s">
        <v>640</v>
      </c>
      <c r="E53" s="78" t="s">
        <v>699</v>
      </c>
      <c r="F53" s="77">
        <v>200</v>
      </c>
      <c r="G53" s="79"/>
      <c r="H53" s="79">
        <f>6000+4230</f>
        <v>10230</v>
      </c>
      <c r="I53" s="79">
        <f t="shared" si="2"/>
        <v>10230</v>
      </c>
      <c r="J53" s="95"/>
    </row>
    <row r="54" spans="2:10" ht="36">
      <c r="B54" s="88" t="s">
        <v>622</v>
      </c>
      <c r="C54" s="77" t="s">
        <v>637</v>
      </c>
      <c r="D54" s="78" t="s">
        <v>640</v>
      </c>
      <c r="E54" s="78" t="s">
        <v>654</v>
      </c>
      <c r="F54" s="77"/>
      <c r="G54" s="79">
        <f>G55+G56</f>
        <v>899500</v>
      </c>
      <c r="H54" s="79">
        <f>H55+H56</f>
        <v>428500</v>
      </c>
      <c r="I54" s="79">
        <f t="shared" si="2"/>
        <v>1328000</v>
      </c>
      <c r="J54" s="95"/>
    </row>
    <row r="55" spans="2:10" ht="48">
      <c r="B55" s="88" t="s">
        <v>765</v>
      </c>
      <c r="C55" s="77" t="s">
        <v>637</v>
      </c>
      <c r="D55" s="78" t="s">
        <v>640</v>
      </c>
      <c r="E55" s="78" t="s">
        <v>654</v>
      </c>
      <c r="F55" s="77">
        <v>100</v>
      </c>
      <c r="G55" s="79">
        <v>860572</v>
      </c>
      <c r="H55" s="79">
        <f>-860572+900634+47200+271992</f>
        <v>359254</v>
      </c>
      <c r="I55" s="79">
        <f t="shared" si="2"/>
        <v>1219826</v>
      </c>
      <c r="J55" s="95"/>
    </row>
    <row r="56" spans="2:10" ht="24">
      <c r="B56" s="88" t="s">
        <v>766</v>
      </c>
      <c r="C56" s="77" t="s">
        <v>637</v>
      </c>
      <c r="D56" s="78" t="s">
        <v>640</v>
      </c>
      <c r="E56" s="78" t="s">
        <v>654</v>
      </c>
      <c r="F56" s="77">
        <v>200</v>
      </c>
      <c r="G56" s="79">
        <v>38928</v>
      </c>
      <c r="H56" s="79">
        <f>-38928+8400+13800+62670+23304</f>
        <v>69246</v>
      </c>
      <c r="I56" s="79">
        <f t="shared" si="2"/>
        <v>108174</v>
      </c>
      <c r="J56" s="95"/>
    </row>
    <row r="57" spans="2:10" ht="24">
      <c r="B57" s="88" t="s">
        <v>808</v>
      </c>
      <c r="C57" s="77" t="s">
        <v>637</v>
      </c>
      <c r="D57" s="78" t="s">
        <v>640</v>
      </c>
      <c r="E57" s="78" t="s">
        <v>782</v>
      </c>
      <c r="F57" s="77"/>
      <c r="G57" s="79">
        <f>G58+G65+G68</f>
        <v>13655825</v>
      </c>
      <c r="H57" s="79">
        <f>H58+H65+H68</f>
        <v>2295822</v>
      </c>
      <c r="I57" s="79">
        <f t="shared" si="2"/>
        <v>15951647</v>
      </c>
      <c r="J57" s="95"/>
    </row>
    <row r="58" spans="2:10" ht="24">
      <c r="B58" s="88" t="s">
        <v>809</v>
      </c>
      <c r="C58" s="77" t="s">
        <v>637</v>
      </c>
      <c r="D58" s="78" t="s">
        <v>640</v>
      </c>
      <c r="E58" s="78" t="s">
        <v>732</v>
      </c>
      <c r="F58" s="77"/>
      <c r="G58" s="79">
        <f>G59+G61</f>
        <v>13655825</v>
      </c>
      <c r="H58" s="79">
        <f>H59+H61</f>
        <v>-13655825</v>
      </c>
      <c r="I58" s="79">
        <f t="shared" si="2"/>
        <v>0</v>
      </c>
      <c r="J58" s="95"/>
    </row>
    <row r="59" spans="2:10" ht="24">
      <c r="B59" s="88" t="s">
        <v>811</v>
      </c>
      <c r="C59" s="77" t="s">
        <v>637</v>
      </c>
      <c r="D59" s="78" t="s">
        <v>640</v>
      </c>
      <c r="E59" s="78" t="s">
        <v>656</v>
      </c>
      <c r="F59" s="77"/>
      <c r="G59" s="79">
        <f>G60</f>
        <v>10464700</v>
      </c>
      <c r="H59" s="79">
        <f>H60</f>
        <v>-10464700</v>
      </c>
      <c r="I59" s="79">
        <f t="shared" si="2"/>
        <v>0</v>
      </c>
      <c r="J59" s="95"/>
    </row>
    <row r="60" spans="2:10" ht="48">
      <c r="B60" s="88" t="s">
        <v>765</v>
      </c>
      <c r="C60" s="77" t="s">
        <v>637</v>
      </c>
      <c r="D60" s="78" t="s">
        <v>640</v>
      </c>
      <c r="E60" s="78" t="s">
        <v>656</v>
      </c>
      <c r="F60" s="77">
        <v>100</v>
      </c>
      <c r="G60" s="79">
        <v>10464700</v>
      </c>
      <c r="H60" s="79">
        <f>-10464700</f>
        <v>-10464700</v>
      </c>
      <c r="I60" s="79">
        <f t="shared" si="2"/>
        <v>0</v>
      </c>
      <c r="J60" s="95"/>
    </row>
    <row r="61" spans="2:10" ht="24">
      <c r="B61" s="88" t="s">
        <v>813</v>
      </c>
      <c r="C61" s="77" t="s">
        <v>637</v>
      </c>
      <c r="D61" s="78" t="s">
        <v>640</v>
      </c>
      <c r="E61" s="78" t="s">
        <v>655</v>
      </c>
      <c r="F61" s="77"/>
      <c r="G61" s="79">
        <f>G62+G63+G64</f>
        <v>3191125</v>
      </c>
      <c r="H61" s="79">
        <f>H62+H63+H64</f>
        <v>-3191125</v>
      </c>
      <c r="I61" s="79">
        <f t="shared" si="2"/>
        <v>0</v>
      </c>
      <c r="J61" s="95"/>
    </row>
    <row r="62" spans="2:10" ht="48">
      <c r="B62" s="88" t="s">
        <v>765</v>
      </c>
      <c r="C62" s="77" t="s">
        <v>637</v>
      </c>
      <c r="D62" s="78" t="s">
        <v>640</v>
      </c>
      <c r="E62" s="78" t="s">
        <v>655</v>
      </c>
      <c r="F62" s="77">
        <v>100</v>
      </c>
      <c r="G62" s="79">
        <v>3161125</v>
      </c>
      <c r="H62" s="79">
        <f>-3161125</f>
        <v>-3161125</v>
      </c>
      <c r="I62" s="79">
        <f t="shared" si="2"/>
        <v>0</v>
      </c>
      <c r="J62" s="95"/>
    </row>
    <row r="63" spans="2:10" ht="24" hidden="1">
      <c r="B63" s="88" t="s">
        <v>766</v>
      </c>
      <c r="C63" s="77" t="s">
        <v>637</v>
      </c>
      <c r="D63" s="78" t="s">
        <v>640</v>
      </c>
      <c r="E63" s="78" t="s">
        <v>655</v>
      </c>
      <c r="F63" s="77">
        <v>200</v>
      </c>
      <c r="G63" s="79">
        <v>0</v>
      </c>
      <c r="H63" s="79">
        <v>0</v>
      </c>
      <c r="I63" s="79">
        <f t="shared" si="2"/>
        <v>0</v>
      </c>
      <c r="J63" s="95"/>
    </row>
    <row r="64" spans="2:10" ht="22.5">
      <c r="B64" s="88" t="s">
        <v>769</v>
      </c>
      <c r="C64" s="77" t="s">
        <v>637</v>
      </c>
      <c r="D64" s="78" t="s">
        <v>640</v>
      </c>
      <c r="E64" s="78" t="s">
        <v>655</v>
      </c>
      <c r="F64" s="77">
        <v>800</v>
      </c>
      <c r="G64" s="79">
        <v>30000</v>
      </c>
      <c r="H64" s="79">
        <v>-30000</v>
      </c>
      <c r="I64" s="79">
        <f t="shared" si="2"/>
        <v>0</v>
      </c>
      <c r="J64" s="95"/>
    </row>
    <row r="65" spans="2:10" ht="24" hidden="1">
      <c r="B65" s="88" t="s">
        <v>624</v>
      </c>
      <c r="C65" s="77" t="s">
        <v>637</v>
      </c>
      <c r="D65" s="78" t="s">
        <v>640</v>
      </c>
      <c r="E65" s="78" t="s">
        <v>694</v>
      </c>
      <c r="F65" s="77"/>
      <c r="G65" s="79">
        <f>G66+G67</f>
        <v>0</v>
      </c>
      <c r="H65" s="79">
        <f>H66+H67</f>
        <v>0</v>
      </c>
      <c r="I65" s="79">
        <f t="shared" si="2"/>
        <v>0</v>
      </c>
      <c r="J65" s="95"/>
    </row>
    <row r="66" spans="2:10" s="64" customFormat="1" ht="48" hidden="1">
      <c r="B66" s="88" t="s">
        <v>765</v>
      </c>
      <c r="C66" s="77" t="s">
        <v>637</v>
      </c>
      <c r="D66" s="78" t="s">
        <v>640</v>
      </c>
      <c r="E66" s="78" t="s">
        <v>694</v>
      </c>
      <c r="F66" s="77" t="s">
        <v>733</v>
      </c>
      <c r="G66" s="79">
        <v>0</v>
      </c>
      <c r="H66" s="79">
        <v>0</v>
      </c>
      <c r="I66" s="79">
        <f t="shared" si="2"/>
        <v>0</v>
      </c>
      <c r="J66" s="95"/>
    </row>
    <row r="67" spans="2:10" s="64" customFormat="1" ht="24" hidden="1">
      <c r="B67" s="88" t="s">
        <v>766</v>
      </c>
      <c r="C67" s="77" t="s">
        <v>637</v>
      </c>
      <c r="D67" s="78" t="s">
        <v>640</v>
      </c>
      <c r="E67" s="78" t="s">
        <v>694</v>
      </c>
      <c r="F67" s="77" t="s">
        <v>971</v>
      </c>
      <c r="G67" s="79">
        <v>0</v>
      </c>
      <c r="H67" s="79">
        <v>0</v>
      </c>
      <c r="I67" s="79">
        <f t="shared" si="2"/>
        <v>0</v>
      </c>
      <c r="J67" s="95"/>
    </row>
    <row r="68" spans="2:10" s="64" customFormat="1" ht="24">
      <c r="B68" s="88" t="s">
        <v>809</v>
      </c>
      <c r="C68" s="77" t="s">
        <v>637</v>
      </c>
      <c r="D68" s="78" t="s">
        <v>640</v>
      </c>
      <c r="E68" s="78" t="s">
        <v>1310</v>
      </c>
      <c r="F68" s="77"/>
      <c r="G68" s="79">
        <f>G69+G71</f>
        <v>0</v>
      </c>
      <c r="H68" s="79">
        <f>H69+H71</f>
        <v>15951647</v>
      </c>
      <c r="I68" s="79">
        <f t="shared" si="2"/>
        <v>15951647</v>
      </c>
      <c r="J68" s="95"/>
    </row>
    <row r="69" spans="2:10" ht="24">
      <c r="B69" s="88" t="s">
        <v>811</v>
      </c>
      <c r="C69" s="77" t="s">
        <v>637</v>
      </c>
      <c r="D69" s="78" t="s">
        <v>640</v>
      </c>
      <c r="E69" s="78" t="s">
        <v>1311</v>
      </c>
      <c r="F69" s="77"/>
      <c r="G69" s="79">
        <f>G70</f>
        <v>0</v>
      </c>
      <c r="H69" s="79">
        <f>H70</f>
        <v>13759887</v>
      </c>
      <c r="I69" s="79">
        <f t="shared" si="2"/>
        <v>13759887</v>
      </c>
      <c r="J69" s="95"/>
    </row>
    <row r="70" spans="2:10" ht="48">
      <c r="B70" s="88" t="s">
        <v>765</v>
      </c>
      <c r="C70" s="77" t="s">
        <v>637</v>
      </c>
      <c r="D70" s="78" t="s">
        <v>640</v>
      </c>
      <c r="E70" s="78" t="s">
        <v>1311</v>
      </c>
      <c r="F70" s="77">
        <v>100</v>
      </c>
      <c r="G70" s="79">
        <v>0</v>
      </c>
      <c r="H70" s="79">
        <f>10568273+3191614</f>
        <v>13759887</v>
      </c>
      <c r="I70" s="79">
        <f t="shared" si="2"/>
        <v>13759887</v>
      </c>
      <c r="J70" s="95"/>
    </row>
    <row r="71" spans="2:10" ht="24">
      <c r="B71" s="88" t="s">
        <v>813</v>
      </c>
      <c r="C71" s="77" t="s">
        <v>637</v>
      </c>
      <c r="D71" s="78" t="s">
        <v>640</v>
      </c>
      <c r="E71" s="78" t="s">
        <v>1312</v>
      </c>
      <c r="F71" s="77"/>
      <c r="G71" s="79">
        <f>G72+G73+G74</f>
        <v>0</v>
      </c>
      <c r="H71" s="79">
        <f>H72+H73+H74</f>
        <v>2191760</v>
      </c>
      <c r="I71" s="79">
        <f t="shared" si="2"/>
        <v>2191760</v>
      </c>
      <c r="J71" s="95"/>
    </row>
    <row r="72" spans="2:10" ht="48">
      <c r="B72" s="88" t="s">
        <v>765</v>
      </c>
      <c r="C72" s="77" t="s">
        <v>637</v>
      </c>
      <c r="D72" s="78" t="s">
        <v>640</v>
      </c>
      <c r="E72" s="78" t="s">
        <v>1312</v>
      </c>
      <c r="F72" s="77">
        <v>100</v>
      </c>
      <c r="G72" s="79">
        <v>0</v>
      </c>
      <c r="H72" s="79">
        <f>1088910+200000+328850</f>
        <v>1617760</v>
      </c>
      <c r="I72" s="79">
        <f t="shared" si="2"/>
        <v>1617760</v>
      </c>
      <c r="J72" s="95"/>
    </row>
    <row r="73" spans="2:10" ht="24">
      <c r="B73" s="88" t="s">
        <v>766</v>
      </c>
      <c r="C73" s="77" t="s">
        <v>637</v>
      </c>
      <c r="D73" s="78" t="s">
        <v>640</v>
      </c>
      <c r="E73" s="78" t="s">
        <v>1312</v>
      </c>
      <c r="F73" s="77">
        <v>200</v>
      </c>
      <c r="G73" s="79">
        <v>0</v>
      </c>
      <c r="H73" s="79">
        <f>284000+30000+20000</f>
        <v>334000</v>
      </c>
      <c r="I73" s="79">
        <f t="shared" si="2"/>
        <v>334000</v>
      </c>
      <c r="J73" s="95"/>
    </row>
    <row r="74" spans="2:10" ht="12.75">
      <c r="B74" s="88" t="s">
        <v>769</v>
      </c>
      <c r="C74" s="77" t="s">
        <v>637</v>
      </c>
      <c r="D74" s="78" t="s">
        <v>640</v>
      </c>
      <c r="E74" s="78" t="s">
        <v>1312</v>
      </c>
      <c r="F74" s="77">
        <v>800</v>
      </c>
      <c r="G74" s="79">
        <v>0</v>
      </c>
      <c r="H74" s="79">
        <f>200000+40000</f>
        <v>240000</v>
      </c>
      <c r="I74" s="79">
        <f t="shared" si="2"/>
        <v>240000</v>
      </c>
      <c r="J74" s="95"/>
    </row>
    <row r="75" spans="2:10" s="133" customFormat="1" ht="12.75">
      <c r="B75" s="127" t="s">
        <v>284</v>
      </c>
      <c r="C75" s="117" t="s">
        <v>637</v>
      </c>
      <c r="D75" s="128" t="s">
        <v>646</v>
      </c>
      <c r="E75" s="128"/>
      <c r="F75" s="117"/>
      <c r="G75" s="129">
        <f>G77</f>
        <v>8400</v>
      </c>
      <c r="H75" s="129">
        <f>H77</f>
        <v>2000</v>
      </c>
      <c r="I75" s="129">
        <f t="shared" si="2"/>
        <v>10400</v>
      </c>
      <c r="J75" s="134"/>
    </row>
    <row r="76" spans="2:10" ht="12.75">
      <c r="B76" s="88" t="s">
        <v>807</v>
      </c>
      <c r="C76" s="77" t="s">
        <v>637</v>
      </c>
      <c r="D76" s="78" t="s">
        <v>646</v>
      </c>
      <c r="E76" s="78" t="s">
        <v>783</v>
      </c>
      <c r="F76" s="77"/>
      <c r="G76" s="79">
        <f>G77</f>
        <v>8400</v>
      </c>
      <c r="H76" s="79">
        <f>H77</f>
        <v>2000</v>
      </c>
      <c r="I76" s="79">
        <f t="shared" si="2"/>
        <v>10400</v>
      </c>
      <c r="J76" s="95"/>
    </row>
    <row r="77" spans="2:10" ht="36">
      <c r="B77" s="88" t="s">
        <v>816</v>
      </c>
      <c r="C77" s="77" t="s">
        <v>637</v>
      </c>
      <c r="D77" s="78" t="s">
        <v>646</v>
      </c>
      <c r="E77" s="78" t="s">
        <v>658</v>
      </c>
      <c r="F77" s="77"/>
      <c r="G77" s="79">
        <f>G78</f>
        <v>8400</v>
      </c>
      <c r="H77" s="79">
        <f>H78</f>
        <v>2000</v>
      </c>
      <c r="I77" s="79">
        <f t="shared" si="2"/>
        <v>10400</v>
      </c>
      <c r="J77" s="95"/>
    </row>
    <row r="78" spans="2:10" ht="24">
      <c r="B78" s="88" t="s">
        <v>766</v>
      </c>
      <c r="C78" s="77" t="s">
        <v>637</v>
      </c>
      <c r="D78" s="78" t="s">
        <v>646</v>
      </c>
      <c r="E78" s="78" t="s">
        <v>658</v>
      </c>
      <c r="F78" s="77">
        <v>200</v>
      </c>
      <c r="G78" s="79">
        <v>8400</v>
      </c>
      <c r="H78" s="79">
        <f>-8400+10400</f>
        <v>2000</v>
      </c>
      <c r="I78" s="79">
        <f t="shared" si="2"/>
        <v>10400</v>
      </c>
      <c r="J78" s="95"/>
    </row>
    <row r="79" spans="2:10" s="133" customFormat="1" ht="36">
      <c r="B79" s="127" t="s">
        <v>570</v>
      </c>
      <c r="C79" s="117" t="s">
        <v>637</v>
      </c>
      <c r="D79" s="128" t="s">
        <v>641</v>
      </c>
      <c r="E79" s="128"/>
      <c r="F79" s="117"/>
      <c r="G79" s="129">
        <f>G80+G83+G91+G101</f>
        <v>6738401</v>
      </c>
      <c r="H79" s="129">
        <f>H80+H83+H91+H101</f>
        <v>886129</v>
      </c>
      <c r="I79" s="129">
        <f aca="true" t="shared" si="3" ref="I79:I114">G79+H79</f>
        <v>7624530</v>
      </c>
      <c r="J79" s="135"/>
    </row>
    <row r="80" spans="2:9" ht="24" hidden="1">
      <c r="B80" s="88" t="s">
        <v>907</v>
      </c>
      <c r="C80" s="77" t="s">
        <v>637</v>
      </c>
      <c r="D80" s="78" t="s">
        <v>641</v>
      </c>
      <c r="E80" s="78" t="s">
        <v>761</v>
      </c>
      <c r="F80" s="77"/>
      <c r="G80" s="79">
        <f>G81</f>
        <v>0</v>
      </c>
      <c r="H80" s="79">
        <f>H81</f>
        <v>0</v>
      </c>
      <c r="I80" s="79">
        <f t="shared" si="3"/>
        <v>0</v>
      </c>
    </row>
    <row r="81" spans="2:9" ht="24" hidden="1">
      <c r="B81" s="88" t="s">
        <v>908</v>
      </c>
      <c r="C81" s="77" t="s">
        <v>637</v>
      </c>
      <c r="D81" s="78" t="s">
        <v>641</v>
      </c>
      <c r="E81" s="78" t="s">
        <v>724</v>
      </c>
      <c r="F81" s="77"/>
      <c r="G81" s="79">
        <f>G82</f>
        <v>0</v>
      </c>
      <c r="H81" s="79">
        <f>H82</f>
        <v>0</v>
      </c>
      <c r="I81" s="79">
        <f t="shared" si="3"/>
        <v>0</v>
      </c>
    </row>
    <row r="82" spans="2:9" ht="24" hidden="1">
      <c r="B82" s="88" t="s">
        <v>766</v>
      </c>
      <c r="C82" s="77" t="s">
        <v>637</v>
      </c>
      <c r="D82" s="78" t="s">
        <v>641</v>
      </c>
      <c r="E82" s="78" t="s">
        <v>724</v>
      </c>
      <c r="F82" s="77">
        <v>200</v>
      </c>
      <c r="G82" s="79">
        <v>0</v>
      </c>
      <c r="H82" s="79">
        <v>0</v>
      </c>
      <c r="I82" s="79">
        <f t="shared" si="3"/>
        <v>0</v>
      </c>
    </row>
    <row r="83" spans="2:9" ht="36">
      <c r="B83" s="88" t="s">
        <v>909</v>
      </c>
      <c r="C83" s="77" t="s">
        <v>637</v>
      </c>
      <c r="D83" s="78" t="s">
        <v>641</v>
      </c>
      <c r="E83" s="78" t="s">
        <v>800</v>
      </c>
      <c r="F83" s="77"/>
      <c r="G83" s="79">
        <f>G84</f>
        <v>5589720</v>
      </c>
      <c r="H83" s="79">
        <f>H84</f>
        <v>-5589720</v>
      </c>
      <c r="I83" s="79">
        <f t="shared" si="3"/>
        <v>0</v>
      </c>
    </row>
    <row r="84" spans="2:9" ht="24">
      <c r="B84" s="88" t="s">
        <v>910</v>
      </c>
      <c r="C84" s="77" t="s">
        <v>637</v>
      </c>
      <c r="D84" s="78" t="s">
        <v>641</v>
      </c>
      <c r="E84" s="78" t="s">
        <v>799</v>
      </c>
      <c r="F84" s="77"/>
      <c r="G84" s="79">
        <f>G85+G87</f>
        <v>5589720</v>
      </c>
      <c r="H84" s="79">
        <f>H85+H87</f>
        <v>-5589720</v>
      </c>
      <c r="I84" s="79">
        <f t="shared" si="3"/>
        <v>0</v>
      </c>
    </row>
    <row r="85" spans="2:9" ht="24">
      <c r="B85" s="88" t="s">
        <v>911</v>
      </c>
      <c r="C85" s="77" t="s">
        <v>637</v>
      </c>
      <c r="D85" s="78" t="s">
        <v>641</v>
      </c>
      <c r="E85" s="78" t="s">
        <v>798</v>
      </c>
      <c r="F85" s="77"/>
      <c r="G85" s="79">
        <f>G86</f>
        <v>4419200</v>
      </c>
      <c r="H85" s="79">
        <f>H86</f>
        <v>-4419200</v>
      </c>
      <c r="I85" s="79">
        <f t="shared" si="3"/>
        <v>0</v>
      </c>
    </row>
    <row r="86" spans="2:9" ht="48">
      <c r="B86" s="88" t="s">
        <v>765</v>
      </c>
      <c r="C86" s="77" t="s">
        <v>637</v>
      </c>
      <c r="D86" s="78" t="s">
        <v>641</v>
      </c>
      <c r="E86" s="78" t="s">
        <v>798</v>
      </c>
      <c r="F86" s="77">
        <v>100</v>
      </c>
      <c r="G86" s="79">
        <v>4419200</v>
      </c>
      <c r="H86" s="79">
        <v>-4419200</v>
      </c>
      <c r="I86" s="79">
        <f t="shared" si="3"/>
        <v>0</v>
      </c>
    </row>
    <row r="87" spans="2:9" ht="24">
      <c r="B87" s="88" t="s">
        <v>912</v>
      </c>
      <c r="C87" s="77" t="s">
        <v>637</v>
      </c>
      <c r="D87" s="78" t="s">
        <v>641</v>
      </c>
      <c r="E87" s="78" t="s">
        <v>797</v>
      </c>
      <c r="F87" s="77"/>
      <c r="G87" s="79">
        <f>G88+G89+G90</f>
        <v>1170520</v>
      </c>
      <c r="H87" s="79">
        <f>H88+H89+H90</f>
        <v>-1170520</v>
      </c>
      <c r="I87" s="79">
        <f t="shared" si="3"/>
        <v>0</v>
      </c>
    </row>
    <row r="88" spans="2:9" ht="48">
      <c r="B88" s="88" t="s">
        <v>765</v>
      </c>
      <c r="C88" s="77" t="s">
        <v>637</v>
      </c>
      <c r="D88" s="78" t="s">
        <v>641</v>
      </c>
      <c r="E88" s="78" t="s">
        <v>797</v>
      </c>
      <c r="F88" s="77">
        <v>100</v>
      </c>
      <c r="G88" s="79">
        <v>1163520</v>
      </c>
      <c r="H88" s="79">
        <v>-1163520</v>
      </c>
      <c r="I88" s="79">
        <f t="shared" si="3"/>
        <v>0</v>
      </c>
    </row>
    <row r="89" spans="2:9" ht="24" hidden="1">
      <c r="B89" s="88" t="s">
        <v>766</v>
      </c>
      <c r="C89" s="77" t="s">
        <v>637</v>
      </c>
      <c r="D89" s="78" t="s">
        <v>641</v>
      </c>
      <c r="E89" s="78" t="s">
        <v>797</v>
      </c>
      <c r="F89" s="77">
        <v>200</v>
      </c>
      <c r="G89" s="79">
        <v>0</v>
      </c>
      <c r="H89" s="79">
        <v>0</v>
      </c>
      <c r="I89" s="79">
        <f t="shared" si="3"/>
        <v>0</v>
      </c>
    </row>
    <row r="90" spans="2:9" ht="22.5">
      <c r="B90" s="88" t="s">
        <v>769</v>
      </c>
      <c r="C90" s="77" t="s">
        <v>637</v>
      </c>
      <c r="D90" s="78" t="s">
        <v>641</v>
      </c>
      <c r="E90" s="78" t="s">
        <v>797</v>
      </c>
      <c r="F90" s="77">
        <v>800</v>
      </c>
      <c r="G90" s="79">
        <v>7000</v>
      </c>
      <c r="H90" s="79">
        <v>-7000</v>
      </c>
      <c r="I90" s="79">
        <f t="shared" si="3"/>
        <v>0</v>
      </c>
    </row>
    <row r="91" spans="2:9" ht="24">
      <c r="B91" s="88" t="s">
        <v>1161</v>
      </c>
      <c r="C91" s="77" t="s">
        <v>637</v>
      </c>
      <c r="D91" s="78" t="s">
        <v>641</v>
      </c>
      <c r="E91" s="78" t="s">
        <v>1162</v>
      </c>
      <c r="F91" s="77"/>
      <c r="G91" s="79">
        <f>G92</f>
        <v>0</v>
      </c>
      <c r="H91" s="79">
        <f>H92</f>
        <v>6435770</v>
      </c>
      <c r="I91" s="79">
        <f t="shared" si="3"/>
        <v>6435770</v>
      </c>
    </row>
    <row r="92" spans="2:9" ht="48">
      <c r="B92" s="88" t="s">
        <v>1163</v>
      </c>
      <c r="C92" s="77" t="s">
        <v>637</v>
      </c>
      <c r="D92" s="78" t="s">
        <v>641</v>
      </c>
      <c r="E92" s="78" t="s">
        <v>1164</v>
      </c>
      <c r="F92" s="77"/>
      <c r="G92" s="79">
        <f>G93+G95+G97</f>
        <v>0</v>
      </c>
      <c r="H92" s="79">
        <f>H93+H95+H97</f>
        <v>6435770</v>
      </c>
      <c r="I92" s="79">
        <f t="shared" si="3"/>
        <v>6435770</v>
      </c>
    </row>
    <row r="93" spans="2:9" ht="36">
      <c r="B93" s="88" t="s">
        <v>1165</v>
      </c>
      <c r="C93" s="77" t="s">
        <v>637</v>
      </c>
      <c r="D93" s="78" t="s">
        <v>641</v>
      </c>
      <c r="E93" s="78" t="s">
        <v>1166</v>
      </c>
      <c r="F93" s="77"/>
      <c r="G93" s="79">
        <f>G94</f>
        <v>0</v>
      </c>
      <c r="H93" s="79">
        <f>H94</f>
        <v>590500</v>
      </c>
      <c r="I93" s="79">
        <f t="shared" si="3"/>
        <v>590500</v>
      </c>
    </row>
    <row r="94" spans="2:9" ht="24">
      <c r="B94" s="88" t="s">
        <v>766</v>
      </c>
      <c r="C94" s="77" t="s">
        <v>637</v>
      </c>
      <c r="D94" s="78" t="s">
        <v>641</v>
      </c>
      <c r="E94" s="78" t="s">
        <v>1166</v>
      </c>
      <c r="F94" s="77" t="s">
        <v>971</v>
      </c>
      <c r="G94" s="79">
        <v>0</v>
      </c>
      <c r="H94" s="79">
        <f>104000+430000+48000+8500</f>
        <v>590500</v>
      </c>
      <c r="I94" s="79">
        <f t="shared" si="3"/>
        <v>590500</v>
      </c>
    </row>
    <row r="95" spans="2:9" ht="24">
      <c r="B95" s="88" t="s">
        <v>911</v>
      </c>
      <c r="C95" s="77" t="s">
        <v>637</v>
      </c>
      <c r="D95" s="78" t="s">
        <v>641</v>
      </c>
      <c r="E95" s="78" t="s">
        <v>1408</v>
      </c>
      <c r="F95" s="77"/>
      <c r="G95" s="79">
        <f>G96</f>
        <v>0</v>
      </c>
      <c r="H95" s="79">
        <f>H96</f>
        <v>4397650</v>
      </c>
      <c r="I95" s="79">
        <f t="shared" si="3"/>
        <v>4397650</v>
      </c>
    </row>
    <row r="96" spans="2:9" ht="48">
      <c r="B96" s="88" t="s">
        <v>765</v>
      </c>
      <c r="C96" s="77" t="s">
        <v>637</v>
      </c>
      <c r="D96" s="78" t="s">
        <v>641</v>
      </c>
      <c r="E96" s="78" t="s">
        <v>1408</v>
      </c>
      <c r="F96" s="77" t="s">
        <v>733</v>
      </c>
      <c r="G96" s="79"/>
      <c r="H96" s="79">
        <f>3377610+1020040</f>
        <v>4397650</v>
      </c>
      <c r="I96" s="79">
        <f t="shared" si="3"/>
        <v>4397650</v>
      </c>
    </row>
    <row r="97" spans="2:9" ht="24">
      <c r="B97" s="88" t="s">
        <v>912</v>
      </c>
      <c r="C97" s="77" t="s">
        <v>637</v>
      </c>
      <c r="D97" s="78" t="s">
        <v>641</v>
      </c>
      <c r="E97" s="78" t="s">
        <v>1409</v>
      </c>
      <c r="F97" s="77"/>
      <c r="G97" s="79">
        <f>G98+G99+G100</f>
        <v>0</v>
      </c>
      <c r="H97" s="79">
        <f>H98+H99+H100</f>
        <v>1447620</v>
      </c>
      <c r="I97" s="79">
        <f t="shared" si="3"/>
        <v>1447620</v>
      </c>
    </row>
    <row r="98" spans="2:9" ht="48">
      <c r="B98" s="88" t="s">
        <v>765</v>
      </c>
      <c r="C98" s="77" t="s">
        <v>637</v>
      </c>
      <c r="D98" s="78" t="s">
        <v>641</v>
      </c>
      <c r="E98" s="78" t="s">
        <v>1409</v>
      </c>
      <c r="F98" s="77" t="s">
        <v>733</v>
      </c>
      <c r="G98" s="79"/>
      <c r="H98" s="79">
        <f>988490+12000+298530</f>
        <v>1299020</v>
      </c>
      <c r="I98" s="79">
        <f t="shared" si="3"/>
        <v>1299020</v>
      </c>
    </row>
    <row r="99" spans="2:9" ht="24">
      <c r="B99" s="88" t="s">
        <v>766</v>
      </c>
      <c r="C99" s="77" t="s">
        <v>637</v>
      </c>
      <c r="D99" s="78" t="s">
        <v>641</v>
      </c>
      <c r="E99" s="78" t="s">
        <v>1409</v>
      </c>
      <c r="F99" s="77" t="s">
        <v>971</v>
      </c>
      <c r="G99" s="79"/>
      <c r="H99" s="79">
        <f>67600+20000+1000+50000</f>
        <v>138600</v>
      </c>
      <c r="I99" s="79">
        <f t="shared" si="3"/>
        <v>138600</v>
      </c>
    </row>
    <row r="100" spans="2:9" ht="12.75">
      <c r="B100" s="88" t="s">
        <v>769</v>
      </c>
      <c r="C100" s="77" t="s">
        <v>637</v>
      </c>
      <c r="D100" s="78" t="s">
        <v>641</v>
      </c>
      <c r="E100" s="78" t="s">
        <v>1409</v>
      </c>
      <c r="F100" s="77" t="s">
        <v>967</v>
      </c>
      <c r="G100" s="79"/>
      <c r="H100" s="79">
        <v>10000</v>
      </c>
      <c r="I100" s="79">
        <f t="shared" si="3"/>
        <v>10000</v>
      </c>
    </row>
    <row r="101" spans="1:9" ht="12.75">
      <c r="A101" s="81"/>
      <c r="B101" s="88" t="s">
        <v>807</v>
      </c>
      <c r="C101" s="77" t="s">
        <v>637</v>
      </c>
      <c r="D101" s="78" t="s">
        <v>641</v>
      </c>
      <c r="E101" s="78" t="s">
        <v>783</v>
      </c>
      <c r="F101" s="77"/>
      <c r="G101" s="79">
        <f>G102</f>
        <v>1148681</v>
      </c>
      <c r="H101" s="79">
        <f>H102</f>
        <v>40079</v>
      </c>
      <c r="I101" s="79">
        <f t="shared" si="3"/>
        <v>1188760</v>
      </c>
    </row>
    <row r="102" spans="1:9" ht="24">
      <c r="A102" s="81"/>
      <c r="B102" s="88" t="s">
        <v>817</v>
      </c>
      <c r="C102" s="77" t="s">
        <v>637</v>
      </c>
      <c r="D102" s="78" t="s">
        <v>641</v>
      </c>
      <c r="E102" s="78" t="s">
        <v>786</v>
      </c>
      <c r="F102" s="77"/>
      <c r="G102" s="79">
        <f>G103+G109</f>
        <v>1148681</v>
      </c>
      <c r="H102" s="79">
        <f>H103+H109</f>
        <v>40079</v>
      </c>
      <c r="I102" s="79">
        <f t="shared" si="3"/>
        <v>1188760</v>
      </c>
    </row>
    <row r="103" spans="1:9" ht="24">
      <c r="A103" s="81"/>
      <c r="B103" s="88" t="s">
        <v>814</v>
      </c>
      <c r="C103" s="77" t="s">
        <v>637</v>
      </c>
      <c r="D103" s="78" t="s">
        <v>641</v>
      </c>
      <c r="E103" s="78" t="s">
        <v>734</v>
      </c>
      <c r="F103" s="77"/>
      <c r="G103" s="79">
        <f>G104+G107</f>
        <v>1148681</v>
      </c>
      <c r="H103" s="79">
        <f>H104+H107</f>
        <v>-1148681</v>
      </c>
      <c r="I103" s="79">
        <f t="shared" si="3"/>
        <v>0</v>
      </c>
    </row>
    <row r="104" spans="1:9" ht="24">
      <c r="A104" s="81"/>
      <c r="B104" s="88" t="s">
        <v>1110</v>
      </c>
      <c r="C104" s="77" t="s">
        <v>637</v>
      </c>
      <c r="D104" s="78" t="s">
        <v>641</v>
      </c>
      <c r="E104" s="78" t="s">
        <v>1097</v>
      </c>
      <c r="F104" s="77"/>
      <c r="G104" s="79">
        <f>G105+G106</f>
        <v>1148681</v>
      </c>
      <c r="H104" s="79">
        <f>H105+H106</f>
        <v>-1148681</v>
      </c>
      <c r="I104" s="79">
        <f t="shared" si="3"/>
        <v>0</v>
      </c>
    </row>
    <row r="105" spans="1:9" ht="48">
      <c r="A105" s="81"/>
      <c r="B105" s="88" t="s">
        <v>765</v>
      </c>
      <c r="C105" s="77" t="s">
        <v>637</v>
      </c>
      <c r="D105" s="78" t="s">
        <v>641</v>
      </c>
      <c r="E105" s="78" t="s">
        <v>1097</v>
      </c>
      <c r="F105" s="77" t="s">
        <v>733</v>
      </c>
      <c r="G105" s="79">
        <v>1148681</v>
      </c>
      <c r="H105" s="79">
        <f>-1148681</f>
        <v>-1148681</v>
      </c>
      <c r="I105" s="79">
        <f t="shared" si="3"/>
        <v>0</v>
      </c>
    </row>
    <row r="106" spans="1:9" ht="24" hidden="1">
      <c r="A106" s="81"/>
      <c r="B106" s="88" t="s">
        <v>766</v>
      </c>
      <c r="C106" s="77" t="s">
        <v>637</v>
      </c>
      <c r="D106" s="78" t="s">
        <v>641</v>
      </c>
      <c r="E106" s="78" t="s">
        <v>1097</v>
      </c>
      <c r="F106" s="77" t="s">
        <v>971</v>
      </c>
      <c r="G106" s="79">
        <v>0</v>
      </c>
      <c r="H106" s="79"/>
      <c r="I106" s="79">
        <f t="shared" si="3"/>
        <v>0</v>
      </c>
    </row>
    <row r="107" spans="1:9" ht="24" hidden="1">
      <c r="A107" s="81"/>
      <c r="B107" s="88" t="s">
        <v>1110</v>
      </c>
      <c r="C107" s="77" t="s">
        <v>637</v>
      </c>
      <c r="D107" s="78" t="s">
        <v>641</v>
      </c>
      <c r="E107" s="78" t="s">
        <v>659</v>
      </c>
      <c r="F107" s="77"/>
      <c r="G107" s="79">
        <f>G108</f>
        <v>0</v>
      </c>
      <c r="H107" s="79">
        <f>H108</f>
        <v>0</v>
      </c>
      <c r="I107" s="79">
        <f t="shared" si="3"/>
        <v>0</v>
      </c>
    </row>
    <row r="108" spans="2:9" ht="48" hidden="1">
      <c r="B108" s="88" t="s">
        <v>765</v>
      </c>
      <c r="C108" s="77" t="s">
        <v>637</v>
      </c>
      <c r="D108" s="78" t="s">
        <v>641</v>
      </c>
      <c r="E108" s="78" t="s">
        <v>659</v>
      </c>
      <c r="F108" s="77" t="s">
        <v>733</v>
      </c>
      <c r="G108" s="79"/>
      <c r="H108" s="79"/>
      <c r="I108" s="79">
        <f t="shared" si="3"/>
        <v>0</v>
      </c>
    </row>
    <row r="109" spans="2:9" ht="24">
      <c r="B109" s="88" t="s">
        <v>814</v>
      </c>
      <c r="C109" s="77" t="s">
        <v>637</v>
      </c>
      <c r="D109" s="78" t="s">
        <v>641</v>
      </c>
      <c r="E109" s="78" t="s">
        <v>1419</v>
      </c>
      <c r="F109" s="77"/>
      <c r="G109" s="79">
        <f>G110+G113</f>
        <v>0</v>
      </c>
      <c r="H109" s="79">
        <f>H110+H113</f>
        <v>1188760</v>
      </c>
      <c r="I109" s="79">
        <f t="shared" si="3"/>
        <v>1188760</v>
      </c>
    </row>
    <row r="110" spans="2:9" ht="24">
      <c r="B110" s="88" t="s">
        <v>1110</v>
      </c>
      <c r="C110" s="77" t="s">
        <v>637</v>
      </c>
      <c r="D110" s="78" t="s">
        <v>641</v>
      </c>
      <c r="E110" s="78" t="s">
        <v>1420</v>
      </c>
      <c r="F110" s="77"/>
      <c r="G110" s="79">
        <f>G111+G112</f>
        <v>0</v>
      </c>
      <c r="H110" s="79">
        <f>H111+H112</f>
        <v>689270</v>
      </c>
      <c r="I110" s="79">
        <f t="shared" si="3"/>
        <v>689270</v>
      </c>
    </row>
    <row r="111" spans="2:9" ht="48">
      <c r="B111" s="88" t="s">
        <v>765</v>
      </c>
      <c r="C111" s="77" t="s">
        <v>637</v>
      </c>
      <c r="D111" s="78" t="s">
        <v>641</v>
      </c>
      <c r="E111" s="78" t="s">
        <v>1420</v>
      </c>
      <c r="F111" s="77" t="s">
        <v>733</v>
      </c>
      <c r="G111" s="79"/>
      <c r="H111" s="79">
        <f>20000+495410+149610</f>
        <v>665020</v>
      </c>
      <c r="I111" s="79">
        <f t="shared" si="3"/>
        <v>665020</v>
      </c>
    </row>
    <row r="112" spans="2:9" ht="24">
      <c r="B112" s="88" t="s">
        <v>766</v>
      </c>
      <c r="C112" s="77" t="s">
        <v>637</v>
      </c>
      <c r="D112" s="78" t="s">
        <v>641</v>
      </c>
      <c r="E112" s="78" t="s">
        <v>1420</v>
      </c>
      <c r="F112" s="77" t="s">
        <v>971</v>
      </c>
      <c r="G112" s="79"/>
      <c r="H112" s="79">
        <f>6250+4000+2000+12000</f>
        <v>24250</v>
      </c>
      <c r="I112" s="79">
        <f t="shared" si="3"/>
        <v>24250</v>
      </c>
    </row>
    <row r="113" spans="2:9" ht="24">
      <c r="B113" s="88" t="s">
        <v>1110</v>
      </c>
      <c r="C113" s="77" t="s">
        <v>637</v>
      </c>
      <c r="D113" s="78" t="s">
        <v>641</v>
      </c>
      <c r="E113" s="78" t="s">
        <v>1421</v>
      </c>
      <c r="F113" s="77"/>
      <c r="G113" s="79">
        <f>G114</f>
        <v>0</v>
      </c>
      <c r="H113" s="79">
        <f>H114</f>
        <v>499490</v>
      </c>
      <c r="I113" s="79">
        <f t="shared" si="3"/>
        <v>499490</v>
      </c>
    </row>
    <row r="114" spans="2:9" ht="48">
      <c r="B114" s="88" t="s">
        <v>765</v>
      </c>
      <c r="C114" s="77" t="s">
        <v>637</v>
      </c>
      <c r="D114" s="78" t="s">
        <v>641</v>
      </c>
      <c r="E114" s="78" t="s">
        <v>1421</v>
      </c>
      <c r="F114" s="77" t="s">
        <v>733</v>
      </c>
      <c r="G114" s="79"/>
      <c r="H114" s="79">
        <f>383630+115860</f>
        <v>499490</v>
      </c>
      <c r="I114" s="79">
        <f t="shared" si="3"/>
        <v>499490</v>
      </c>
    </row>
    <row r="115" spans="2:10" s="133" customFormat="1" ht="12.75" hidden="1">
      <c r="B115" s="127" t="s">
        <v>381</v>
      </c>
      <c r="C115" s="117" t="s">
        <v>637</v>
      </c>
      <c r="D115" s="128" t="s">
        <v>648</v>
      </c>
      <c r="E115" s="128"/>
      <c r="F115" s="117"/>
      <c r="G115" s="129">
        <f>G117</f>
        <v>0</v>
      </c>
      <c r="H115" s="129">
        <f>H117</f>
        <v>0</v>
      </c>
      <c r="I115" s="129">
        <f t="shared" si="2"/>
        <v>0</v>
      </c>
      <c r="J115" s="134"/>
    </row>
    <row r="116" spans="2:10" ht="12.75" hidden="1">
      <c r="B116" s="88" t="s">
        <v>807</v>
      </c>
      <c r="C116" s="77" t="s">
        <v>637</v>
      </c>
      <c r="D116" s="78" t="s">
        <v>648</v>
      </c>
      <c r="E116" s="78" t="s">
        <v>783</v>
      </c>
      <c r="F116" s="77"/>
      <c r="G116" s="79">
        <f>G117</f>
        <v>0</v>
      </c>
      <c r="H116" s="79">
        <f>H117</f>
        <v>0</v>
      </c>
      <c r="I116" s="79">
        <f t="shared" si="2"/>
        <v>0</v>
      </c>
      <c r="J116" s="95"/>
    </row>
    <row r="117" spans="2:10" ht="24" hidden="1">
      <c r="B117" s="88" t="s">
        <v>818</v>
      </c>
      <c r="C117" s="77" t="s">
        <v>637</v>
      </c>
      <c r="D117" s="78" t="s">
        <v>648</v>
      </c>
      <c r="E117" s="78" t="s">
        <v>660</v>
      </c>
      <c r="F117" s="77"/>
      <c r="G117" s="79">
        <f>G118</f>
        <v>0</v>
      </c>
      <c r="H117" s="79">
        <f>H118</f>
        <v>0</v>
      </c>
      <c r="I117" s="79">
        <f t="shared" si="2"/>
        <v>0</v>
      </c>
      <c r="J117" s="95"/>
    </row>
    <row r="118" spans="2:10" ht="12.75" hidden="1">
      <c r="B118" s="88" t="s">
        <v>769</v>
      </c>
      <c r="C118" s="77" t="s">
        <v>637</v>
      </c>
      <c r="D118" s="78" t="s">
        <v>648</v>
      </c>
      <c r="E118" s="78" t="s">
        <v>660</v>
      </c>
      <c r="F118" s="77">
        <v>800</v>
      </c>
      <c r="G118" s="79"/>
      <c r="H118" s="79">
        <v>0</v>
      </c>
      <c r="I118" s="79">
        <f t="shared" si="2"/>
        <v>0</v>
      </c>
      <c r="J118" s="95"/>
    </row>
    <row r="119" spans="2:10" s="133" customFormat="1" ht="12.75">
      <c r="B119" s="127" t="s">
        <v>438</v>
      </c>
      <c r="C119" s="117" t="s">
        <v>637</v>
      </c>
      <c r="D119" s="128" t="s">
        <v>642</v>
      </c>
      <c r="E119" s="128"/>
      <c r="F119" s="117"/>
      <c r="G119" s="129">
        <f>G121</f>
        <v>1000000</v>
      </c>
      <c r="H119" s="129">
        <f>H121</f>
        <v>2000000</v>
      </c>
      <c r="I119" s="129">
        <f t="shared" si="2"/>
        <v>3000000</v>
      </c>
      <c r="J119" s="134"/>
    </row>
    <row r="120" spans="2:10" ht="12.75">
      <c r="B120" s="88" t="s">
        <v>807</v>
      </c>
      <c r="C120" s="77" t="s">
        <v>637</v>
      </c>
      <c r="D120" s="78" t="s">
        <v>642</v>
      </c>
      <c r="E120" s="78" t="s">
        <v>783</v>
      </c>
      <c r="F120" s="77"/>
      <c r="G120" s="79">
        <f>G121</f>
        <v>1000000</v>
      </c>
      <c r="H120" s="79">
        <f>H121</f>
        <v>2000000</v>
      </c>
      <c r="I120" s="79">
        <f t="shared" si="2"/>
        <v>3000000</v>
      </c>
      <c r="J120" s="95"/>
    </row>
    <row r="121" spans="2:10" s="64" customFormat="1" ht="22.5">
      <c r="B121" s="88" t="s">
        <v>623</v>
      </c>
      <c r="C121" s="77" t="s">
        <v>637</v>
      </c>
      <c r="D121" s="78" t="s">
        <v>642</v>
      </c>
      <c r="E121" s="78" t="s">
        <v>785</v>
      </c>
      <c r="F121" s="77"/>
      <c r="G121" s="79">
        <f>G122</f>
        <v>1000000</v>
      </c>
      <c r="H121" s="79">
        <f>H122</f>
        <v>2000000</v>
      </c>
      <c r="I121" s="79">
        <f t="shared" si="2"/>
        <v>3000000</v>
      </c>
      <c r="J121" s="95"/>
    </row>
    <row r="122" spans="2:10" s="64" customFormat="1" ht="22.5">
      <c r="B122" s="88" t="s">
        <v>769</v>
      </c>
      <c r="C122" s="77" t="s">
        <v>637</v>
      </c>
      <c r="D122" s="78" t="s">
        <v>642</v>
      </c>
      <c r="E122" s="78" t="s">
        <v>785</v>
      </c>
      <c r="F122" s="77">
        <v>800</v>
      </c>
      <c r="G122" s="79">
        <v>1000000</v>
      </c>
      <c r="H122" s="79">
        <f>-1000000+3000000</f>
        <v>2000000</v>
      </c>
      <c r="I122" s="79">
        <f t="shared" si="2"/>
        <v>3000000</v>
      </c>
      <c r="J122" s="95"/>
    </row>
    <row r="123" spans="2:10" s="135" customFormat="1" ht="12.75">
      <c r="B123" s="127" t="s">
        <v>446</v>
      </c>
      <c r="C123" s="117" t="s">
        <v>637</v>
      </c>
      <c r="D123" s="128" t="s">
        <v>643</v>
      </c>
      <c r="E123" s="128"/>
      <c r="F123" s="117"/>
      <c r="G123" s="129">
        <f>G136+G140+G153+G147+G124+G131</f>
        <v>12444517</v>
      </c>
      <c r="H123" s="129">
        <f>H136+H140+H153+H147+H124+H131</f>
        <v>11933458.370000001</v>
      </c>
      <c r="I123" s="129">
        <f t="shared" si="2"/>
        <v>24377975.37</v>
      </c>
      <c r="J123" s="134"/>
    </row>
    <row r="124" spans="2:10" s="64" customFormat="1" ht="36">
      <c r="B124" s="88" t="s">
        <v>1183</v>
      </c>
      <c r="C124" s="77" t="s">
        <v>637</v>
      </c>
      <c r="D124" s="78" t="s">
        <v>643</v>
      </c>
      <c r="E124" s="77" t="s">
        <v>1184</v>
      </c>
      <c r="F124" s="77"/>
      <c r="G124" s="79">
        <f>G125</f>
        <v>0</v>
      </c>
      <c r="H124" s="79">
        <f>H125</f>
        <v>349000</v>
      </c>
      <c r="I124" s="79">
        <f t="shared" si="2"/>
        <v>349000</v>
      </c>
      <c r="J124" s="95"/>
    </row>
    <row r="125" spans="2:10" ht="27">
      <c r="B125" s="88" t="s">
        <v>1313</v>
      </c>
      <c r="C125" s="77" t="s">
        <v>637</v>
      </c>
      <c r="D125" s="78" t="s">
        <v>643</v>
      </c>
      <c r="E125" s="77" t="s">
        <v>1283</v>
      </c>
      <c r="F125" s="77"/>
      <c r="G125" s="79">
        <f>G126+G128</f>
        <v>0</v>
      </c>
      <c r="H125" s="79">
        <f>H126+H128</f>
        <v>349000</v>
      </c>
      <c r="I125" s="79">
        <f t="shared" si="2"/>
        <v>349000</v>
      </c>
      <c r="J125" s="95"/>
    </row>
    <row r="126" spans="2:10" ht="60">
      <c r="B126" s="90" t="s">
        <v>1314</v>
      </c>
      <c r="C126" s="77" t="s">
        <v>637</v>
      </c>
      <c r="D126" s="78" t="s">
        <v>643</v>
      </c>
      <c r="E126" s="77" t="s">
        <v>1315</v>
      </c>
      <c r="F126" s="77"/>
      <c r="G126" s="79">
        <f>G127</f>
        <v>0</v>
      </c>
      <c r="H126" s="79">
        <f>H127</f>
        <v>120000</v>
      </c>
      <c r="I126" s="79">
        <f t="shared" si="2"/>
        <v>120000</v>
      </c>
      <c r="J126" s="95"/>
    </row>
    <row r="127" spans="2:10" ht="24">
      <c r="B127" s="88" t="s">
        <v>766</v>
      </c>
      <c r="C127" s="77" t="s">
        <v>637</v>
      </c>
      <c r="D127" s="78" t="s">
        <v>643</v>
      </c>
      <c r="E127" s="77" t="s">
        <v>1315</v>
      </c>
      <c r="F127" s="77" t="s">
        <v>971</v>
      </c>
      <c r="G127" s="79">
        <v>0</v>
      </c>
      <c r="H127" s="79">
        <v>120000</v>
      </c>
      <c r="I127" s="79">
        <f t="shared" si="2"/>
        <v>120000</v>
      </c>
      <c r="J127" s="95"/>
    </row>
    <row r="128" spans="2:10" ht="24">
      <c r="B128" s="90" t="s">
        <v>1284</v>
      </c>
      <c r="C128" s="77" t="s">
        <v>637</v>
      </c>
      <c r="D128" s="78" t="s">
        <v>643</v>
      </c>
      <c r="E128" s="77" t="s">
        <v>1285</v>
      </c>
      <c r="F128" s="77"/>
      <c r="G128" s="79">
        <f>G129</f>
        <v>0</v>
      </c>
      <c r="H128" s="79">
        <f>H129</f>
        <v>229000</v>
      </c>
      <c r="I128" s="79">
        <f t="shared" si="2"/>
        <v>229000</v>
      </c>
      <c r="J128" s="95"/>
    </row>
    <row r="129" spans="2:10" ht="12.75">
      <c r="B129" s="90" t="s">
        <v>894</v>
      </c>
      <c r="C129" s="77" t="s">
        <v>637</v>
      </c>
      <c r="D129" s="78" t="s">
        <v>643</v>
      </c>
      <c r="E129" s="77" t="s">
        <v>1316</v>
      </c>
      <c r="F129" s="77"/>
      <c r="G129" s="79">
        <f>G130</f>
        <v>0</v>
      </c>
      <c r="H129" s="79">
        <f>H130</f>
        <v>229000</v>
      </c>
      <c r="I129" s="79">
        <f t="shared" si="2"/>
        <v>229000</v>
      </c>
      <c r="J129" s="95"/>
    </row>
    <row r="130" spans="2:10" ht="24">
      <c r="B130" s="88" t="s">
        <v>766</v>
      </c>
      <c r="C130" s="77" t="s">
        <v>637</v>
      </c>
      <c r="D130" s="78" t="s">
        <v>643</v>
      </c>
      <c r="E130" s="77" t="s">
        <v>1316</v>
      </c>
      <c r="F130" s="77" t="s">
        <v>971</v>
      </c>
      <c r="G130" s="79">
        <v>0</v>
      </c>
      <c r="H130" s="79">
        <v>229000</v>
      </c>
      <c r="I130" s="79">
        <f t="shared" si="2"/>
        <v>229000</v>
      </c>
      <c r="J130" s="95"/>
    </row>
    <row r="131" spans="2:10" ht="36">
      <c r="B131" s="90" t="s">
        <v>1317</v>
      </c>
      <c r="C131" s="77" t="s">
        <v>637</v>
      </c>
      <c r="D131" s="78" t="s">
        <v>643</v>
      </c>
      <c r="E131" s="77" t="s">
        <v>1318</v>
      </c>
      <c r="F131" s="77"/>
      <c r="G131" s="79">
        <f aca="true" t="shared" si="4" ref="G131:H134">G132</f>
        <v>0</v>
      </c>
      <c r="H131" s="79">
        <f t="shared" si="4"/>
        <v>10101</v>
      </c>
      <c r="I131" s="79">
        <f t="shared" si="2"/>
        <v>10101</v>
      </c>
      <c r="J131" s="95"/>
    </row>
    <row r="132" spans="2:10" ht="12.75">
      <c r="B132" s="90" t="s">
        <v>1319</v>
      </c>
      <c r="C132" s="77" t="s">
        <v>637</v>
      </c>
      <c r="D132" s="78" t="s">
        <v>643</v>
      </c>
      <c r="E132" s="77" t="s">
        <v>1320</v>
      </c>
      <c r="F132" s="77"/>
      <c r="G132" s="79">
        <f t="shared" si="4"/>
        <v>0</v>
      </c>
      <c r="H132" s="79">
        <f t="shared" si="4"/>
        <v>10101</v>
      </c>
      <c r="I132" s="79">
        <f t="shared" si="2"/>
        <v>10101</v>
      </c>
      <c r="J132" s="95"/>
    </row>
    <row r="133" spans="2:10" ht="12.75">
      <c r="B133" s="90" t="s">
        <v>1321</v>
      </c>
      <c r="C133" s="77" t="s">
        <v>637</v>
      </c>
      <c r="D133" s="78" t="s">
        <v>643</v>
      </c>
      <c r="E133" s="77" t="s">
        <v>749</v>
      </c>
      <c r="F133" s="77"/>
      <c r="G133" s="79">
        <f t="shared" si="4"/>
        <v>0</v>
      </c>
      <c r="H133" s="79">
        <f t="shared" si="4"/>
        <v>10101</v>
      </c>
      <c r="I133" s="79">
        <f t="shared" si="2"/>
        <v>10101</v>
      </c>
      <c r="J133" s="95"/>
    </row>
    <row r="134" spans="2:10" ht="36">
      <c r="B134" s="90" t="s">
        <v>892</v>
      </c>
      <c r="C134" s="77" t="s">
        <v>637</v>
      </c>
      <c r="D134" s="78" t="s">
        <v>643</v>
      </c>
      <c r="E134" s="77" t="s">
        <v>1322</v>
      </c>
      <c r="F134" s="77"/>
      <c r="G134" s="79">
        <f t="shared" si="4"/>
        <v>0</v>
      </c>
      <c r="H134" s="79">
        <f t="shared" si="4"/>
        <v>10101</v>
      </c>
      <c r="I134" s="79">
        <f t="shared" si="2"/>
        <v>10101</v>
      </c>
      <c r="J134" s="95"/>
    </row>
    <row r="135" spans="2:10" ht="12.75">
      <c r="B135" s="88" t="s">
        <v>771</v>
      </c>
      <c r="C135" s="77" t="s">
        <v>637</v>
      </c>
      <c r="D135" s="78" t="s">
        <v>643</v>
      </c>
      <c r="E135" s="77" t="s">
        <v>1322</v>
      </c>
      <c r="F135" s="77" t="s">
        <v>997</v>
      </c>
      <c r="G135" s="79">
        <v>0</v>
      </c>
      <c r="H135" s="79">
        <f>10000+101</f>
        <v>10101</v>
      </c>
      <c r="I135" s="79">
        <f t="shared" si="2"/>
        <v>10101</v>
      </c>
      <c r="J135" s="95"/>
    </row>
    <row r="136" spans="2:10" ht="24">
      <c r="B136" s="88" t="s">
        <v>884</v>
      </c>
      <c r="C136" s="77" t="s">
        <v>637</v>
      </c>
      <c r="D136" s="78" t="s">
        <v>643</v>
      </c>
      <c r="E136" s="78" t="s">
        <v>663</v>
      </c>
      <c r="F136" s="77"/>
      <c r="G136" s="79">
        <f>G137</f>
        <v>702300</v>
      </c>
      <c r="H136" s="79">
        <f>H137</f>
        <v>-702300</v>
      </c>
      <c r="I136" s="79">
        <f t="shared" si="2"/>
        <v>0</v>
      </c>
      <c r="J136" s="95"/>
    </row>
    <row r="137" spans="2:10" ht="12.75">
      <c r="B137" s="88" t="s">
        <v>886</v>
      </c>
      <c r="C137" s="77" t="s">
        <v>637</v>
      </c>
      <c r="D137" s="78" t="s">
        <v>643</v>
      </c>
      <c r="E137" s="78" t="s">
        <v>667</v>
      </c>
      <c r="F137" s="77"/>
      <c r="G137" s="79">
        <f>G138+G139</f>
        <v>702300</v>
      </c>
      <c r="H137" s="79">
        <f>H138+H139</f>
        <v>-702300</v>
      </c>
      <c r="I137" s="79">
        <f t="shared" si="2"/>
        <v>0</v>
      </c>
      <c r="J137" s="95"/>
    </row>
    <row r="138" spans="2:10" ht="48">
      <c r="B138" s="88" t="s">
        <v>765</v>
      </c>
      <c r="C138" s="77" t="s">
        <v>637</v>
      </c>
      <c r="D138" s="78" t="s">
        <v>643</v>
      </c>
      <c r="E138" s="78" t="s">
        <v>667</v>
      </c>
      <c r="F138" s="77">
        <v>100</v>
      </c>
      <c r="G138" s="79">
        <v>603668</v>
      </c>
      <c r="H138" s="79">
        <f>-603668</f>
        <v>-603668</v>
      </c>
      <c r="I138" s="79">
        <f t="shared" si="2"/>
        <v>0</v>
      </c>
      <c r="J138" s="95"/>
    </row>
    <row r="139" spans="2:10" ht="24">
      <c r="B139" s="88" t="s">
        <v>766</v>
      </c>
      <c r="C139" s="77" t="s">
        <v>637</v>
      </c>
      <c r="D139" s="78" t="s">
        <v>643</v>
      </c>
      <c r="E139" s="78" t="s">
        <v>667</v>
      </c>
      <c r="F139" s="77">
        <v>200</v>
      </c>
      <c r="G139" s="79">
        <v>98632</v>
      </c>
      <c r="H139" s="79">
        <f>-98632</f>
        <v>-98632</v>
      </c>
      <c r="I139" s="79">
        <f t="shared" si="2"/>
        <v>0</v>
      </c>
      <c r="J139" s="95"/>
    </row>
    <row r="140" spans="2:10" ht="24">
      <c r="B140" s="88" t="s">
        <v>913</v>
      </c>
      <c r="C140" s="77" t="s">
        <v>637</v>
      </c>
      <c r="D140" s="78" t="s">
        <v>643</v>
      </c>
      <c r="E140" s="78" t="s">
        <v>739</v>
      </c>
      <c r="F140" s="77"/>
      <c r="G140" s="79">
        <f>G141+G143</f>
        <v>3447299</v>
      </c>
      <c r="H140" s="79">
        <f>H141+H143</f>
        <v>-3447299</v>
      </c>
      <c r="I140" s="79">
        <f t="shared" si="2"/>
        <v>0</v>
      </c>
      <c r="J140" s="95"/>
    </row>
    <row r="141" spans="2:10" ht="24" hidden="1">
      <c r="B141" s="88" t="s">
        <v>914</v>
      </c>
      <c r="C141" s="77" t="s">
        <v>637</v>
      </c>
      <c r="D141" s="78" t="s">
        <v>643</v>
      </c>
      <c r="E141" s="78" t="s">
        <v>670</v>
      </c>
      <c r="F141" s="77"/>
      <c r="G141" s="79">
        <f>G142</f>
        <v>0</v>
      </c>
      <c r="H141" s="79">
        <f>H142</f>
        <v>0</v>
      </c>
      <c r="I141" s="79">
        <f t="shared" si="2"/>
        <v>0</v>
      </c>
      <c r="J141" s="95"/>
    </row>
    <row r="142" spans="2:10" ht="24" hidden="1">
      <c r="B142" s="88" t="s">
        <v>766</v>
      </c>
      <c r="C142" s="77" t="s">
        <v>637</v>
      </c>
      <c r="D142" s="78" t="s">
        <v>643</v>
      </c>
      <c r="E142" s="78" t="s">
        <v>670</v>
      </c>
      <c r="F142" s="77">
        <v>200</v>
      </c>
      <c r="G142" s="79">
        <v>0</v>
      </c>
      <c r="H142" s="79">
        <v>0</v>
      </c>
      <c r="I142" s="79">
        <f t="shared" si="2"/>
        <v>0</v>
      </c>
      <c r="J142" s="95"/>
    </row>
    <row r="143" spans="2:10" ht="12.75">
      <c r="B143" s="88" t="s">
        <v>1076</v>
      </c>
      <c r="C143" s="77" t="s">
        <v>637</v>
      </c>
      <c r="D143" s="78" t="s">
        <v>643</v>
      </c>
      <c r="E143" s="78" t="s">
        <v>1077</v>
      </c>
      <c r="F143" s="77"/>
      <c r="G143" s="79">
        <f>G144+G145</f>
        <v>3447299</v>
      </c>
      <c r="H143" s="79">
        <f>H144+H145</f>
        <v>-3447299</v>
      </c>
      <c r="I143" s="79">
        <f t="shared" si="2"/>
        <v>0</v>
      </c>
      <c r="J143" s="95"/>
    </row>
    <row r="144" spans="2:10" ht="24">
      <c r="B144" s="88" t="s">
        <v>766</v>
      </c>
      <c r="C144" s="77" t="s">
        <v>637</v>
      </c>
      <c r="D144" s="78" t="s">
        <v>643</v>
      </c>
      <c r="E144" s="78" t="s">
        <v>1077</v>
      </c>
      <c r="F144" s="77" t="s">
        <v>971</v>
      </c>
      <c r="G144" s="79">
        <v>3238299</v>
      </c>
      <c r="H144" s="79">
        <v>-3238299</v>
      </c>
      <c r="I144" s="79">
        <f t="shared" si="2"/>
        <v>0</v>
      </c>
      <c r="J144" s="95"/>
    </row>
    <row r="145" spans="2:10" ht="12.75">
      <c r="B145" s="88" t="s">
        <v>769</v>
      </c>
      <c r="C145" s="77" t="s">
        <v>637</v>
      </c>
      <c r="D145" s="78" t="s">
        <v>643</v>
      </c>
      <c r="E145" s="78" t="s">
        <v>1077</v>
      </c>
      <c r="F145" s="77" t="s">
        <v>967</v>
      </c>
      <c r="G145" s="79">
        <v>209000</v>
      </c>
      <c r="H145" s="79">
        <v>-209000</v>
      </c>
      <c r="I145" s="79">
        <f t="shared" si="2"/>
        <v>0</v>
      </c>
      <c r="J145" s="95"/>
    </row>
    <row r="146" spans="2:10" ht="24">
      <c r="B146" s="88" t="s">
        <v>1167</v>
      </c>
      <c r="C146" s="77" t="s">
        <v>637</v>
      </c>
      <c r="D146" s="78" t="s">
        <v>643</v>
      </c>
      <c r="E146" s="78" t="s">
        <v>1168</v>
      </c>
      <c r="F146" s="77"/>
      <c r="G146" s="79">
        <f>G147</f>
        <v>0</v>
      </c>
      <c r="H146" s="79">
        <f>H147</f>
        <v>22714616.37</v>
      </c>
      <c r="I146" s="79">
        <f aca="true" t="shared" si="5" ref="I146:I214">G146+H146</f>
        <v>22714616.37</v>
      </c>
      <c r="J146" s="95"/>
    </row>
    <row r="147" spans="2:10" ht="36">
      <c r="B147" s="88" t="s">
        <v>1169</v>
      </c>
      <c r="C147" s="77" t="s">
        <v>637</v>
      </c>
      <c r="D147" s="78" t="s">
        <v>643</v>
      </c>
      <c r="E147" s="78" t="s">
        <v>1170</v>
      </c>
      <c r="F147" s="77"/>
      <c r="G147" s="79">
        <f>G149</f>
        <v>0</v>
      </c>
      <c r="H147" s="79">
        <f>H149</f>
        <v>22714616.37</v>
      </c>
      <c r="I147" s="79">
        <f t="shared" si="5"/>
        <v>22714616.37</v>
      </c>
      <c r="J147" s="95"/>
    </row>
    <row r="148" spans="2:10" ht="24">
      <c r="B148" s="88" t="s">
        <v>1171</v>
      </c>
      <c r="C148" s="77" t="s">
        <v>637</v>
      </c>
      <c r="D148" s="78" t="s">
        <v>643</v>
      </c>
      <c r="E148" s="78" t="s">
        <v>1172</v>
      </c>
      <c r="F148" s="77"/>
      <c r="G148" s="79">
        <f>G149</f>
        <v>0</v>
      </c>
      <c r="H148" s="79">
        <f>H149</f>
        <v>22714616.37</v>
      </c>
      <c r="I148" s="79">
        <f t="shared" si="5"/>
        <v>22714616.37</v>
      </c>
      <c r="J148" s="95"/>
    </row>
    <row r="149" spans="2:10" s="64" customFormat="1" ht="24">
      <c r="B149" s="88" t="s">
        <v>1173</v>
      </c>
      <c r="C149" s="77" t="s">
        <v>637</v>
      </c>
      <c r="D149" s="78" t="s">
        <v>643</v>
      </c>
      <c r="E149" s="78" t="s">
        <v>1323</v>
      </c>
      <c r="F149" s="77"/>
      <c r="G149" s="79">
        <f>G150+G151+G152</f>
        <v>0</v>
      </c>
      <c r="H149" s="79">
        <f>H150+H151+H152</f>
        <v>22714616.37</v>
      </c>
      <c r="I149" s="79">
        <f t="shared" si="5"/>
        <v>22714616.37</v>
      </c>
      <c r="J149" s="95"/>
    </row>
    <row r="150" spans="2:10" s="64" customFormat="1" ht="48">
      <c r="B150" s="88" t="s">
        <v>765</v>
      </c>
      <c r="C150" s="77" t="s">
        <v>637</v>
      </c>
      <c r="D150" s="78" t="s">
        <v>643</v>
      </c>
      <c r="E150" s="78" t="s">
        <v>1323</v>
      </c>
      <c r="F150" s="77" t="s">
        <v>733</v>
      </c>
      <c r="G150" s="79">
        <v>0</v>
      </c>
      <c r="H150" s="79">
        <f>10735800+3242211</f>
        <v>13978011</v>
      </c>
      <c r="I150" s="79">
        <f t="shared" si="5"/>
        <v>13978011</v>
      </c>
      <c r="J150" s="95"/>
    </row>
    <row r="151" spans="2:10" s="64" customFormat="1" ht="24">
      <c r="B151" s="88" t="s">
        <v>766</v>
      </c>
      <c r="C151" s="77" t="s">
        <v>637</v>
      </c>
      <c r="D151" s="78" t="s">
        <v>643</v>
      </c>
      <c r="E151" s="78" t="s">
        <v>1323</v>
      </c>
      <c r="F151" s="77" t="s">
        <v>971</v>
      </c>
      <c r="G151" s="79">
        <v>0</v>
      </c>
      <c r="H151" s="79">
        <f>785000+100000+800000+4605424+66864+168000+5000+45000+256317.37+47000+200000+700000+270000+132000+50000+18000</f>
        <v>8248605.37</v>
      </c>
      <c r="I151" s="79">
        <f t="shared" si="5"/>
        <v>8248605.37</v>
      </c>
      <c r="J151" s="95"/>
    </row>
    <row r="152" spans="2:10" s="64" customFormat="1" ht="12.75">
      <c r="B152" s="88" t="s">
        <v>769</v>
      </c>
      <c r="C152" s="77" t="s">
        <v>637</v>
      </c>
      <c r="D152" s="78" t="s">
        <v>643</v>
      </c>
      <c r="E152" s="78" t="s">
        <v>1323</v>
      </c>
      <c r="F152" s="77" t="s">
        <v>967</v>
      </c>
      <c r="G152" s="79">
        <v>0</v>
      </c>
      <c r="H152" s="79">
        <f>210000+63000+215000</f>
        <v>488000</v>
      </c>
      <c r="I152" s="79">
        <f t="shared" si="5"/>
        <v>488000</v>
      </c>
      <c r="J152" s="95"/>
    </row>
    <row r="153" spans="2:10" s="64" customFormat="1" ht="12.75">
      <c r="B153" s="88" t="s">
        <v>807</v>
      </c>
      <c r="C153" s="77" t="s">
        <v>637</v>
      </c>
      <c r="D153" s="78" t="s">
        <v>643</v>
      </c>
      <c r="E153" s="78" t="s">
        <v>783</v>
      </c>
      <c r="F153" s="77"/>
      <c r="G153" s="79">
        <f>G154+G160+G162+G166+G169+G157+G172</f>
        <v>8294918</v>
      </c>
      <c r="H153" s="79">
        <f>H154+H160+H162+H166+H169+H157+H172</f>
        <v>-6990660</v>
      </c>
      <c r="I153" s="79">
        <f t="shared" si="5"/>
        <v>1304258</v>
      </c>
      <c r="J153" s="95"/>
    </row>
    <row r="154" spans="2:10" s="64" customFormat="1" ht="24">
      <c r="B154" s="88" t="s">
        <v>941</v>
      </c>
      <c r="C154" s="77" t="s">
        <v>637</v>
      </c>
      <c r="D154" s="78" t="s">
        <v>643</v>
      </c>
      <c r="E154" s="78" t="s">
        <v>671</v>
      </c>
      <c r="F154" s="77"/>
      <c r="G154" s="79">
        <f>G156+G155</f>
        <v>100</v>
      </c>
      <c r="H154" s="79">
        <f>H156+H155</f>
        <v>56100</v>
      </c>
      <c r="I154" s="79">
        <f t="shared" si="5"/>
        <v>56200</v>
      </c>
      <c r="J154" s="95"/>
    </row>
    <row r="155" spans="2:10" s="64" customFormat="1" ht="48">
      <c r="B155" s="88" t="s">
        <v>765</v>
      </c>
      <c r="C155" s="77" t="s">
        <v>637</v>
      </c>
      <c r="D155" s="78" t="s">
        <v>643</v>
      </c>
      <c r="E155" s="78" t="s">
        <v>671</v>
      </c>
      <c r="F155" s="77" t="s">
        <v>733</v>
      </c>
      <c r="G155" s="79">
        <v>0</v>
      </c>
      <c r="H155" s="79">
        <f>40297+12170</f>
        <v>52467</v>
      </c>
      <c r="I155" s="79">
        <f t="shared" si="5"/>
        <v>52467</v>
      </c>
      <c r="J155" s="95"/>
    </row>
    <row r="156" spans="2:10" s="64" customFormat="1" ht="24">
      <c r="B156" s="88" t="s">
        <v>766</v>
      </c>
      <c r="C156" s="77" t="s">
        <v>637</v>
      </c>
      <c r="D156" s="78" t="s">
        <v>643</v>
      </c>
      <c r="E156" s="78" t="s">
        <v>671</v>
      </c>
      <c r="F156" s="77">
        <v>200</v>
      </c>
      <c r="G156" s="79">
        <v>100</v>
      </c>
      <c r="H156" s="79">
        <f>-100+1733+2000</f>
        <v>3633</v>
      </c>
      <c r="I156" s="79">
        <f t="shared" si="5"/>
        <v>3733</v>
      </c>
      <c r="J156" s="95"/>
    </row>
    <row r="157" spans="2:10" ht="36">
      <c r="B157" s="88" t="s">
        <v>1174</v>
      </c>
      <c r="C157" s="77" t="s">
        <v>637</v>
      </c>
      <c r="D157" s="78" t="s">
        <v>643</v>
      </c>
      <c r="E157" s="78" t="s">
        <v>1175</v>
      </c>
      <c r="F157" s="77"/>
      <c r="G157" s="79">
        <f>G158+G159</f>
        <v>0</v>
      </c>
      <c r="H157" s="79">
        <f>H158+H159</f>
        <v>692200</v>
      </c>
      <c r="I157" s="79">
        <f t="shared" si="5"/>
        <v>692200</v>
      </c>
      <c r="J157" s="95"/>
    </row>
    <row r="158" spans="2:10" ht="48">
      <c r="B158" s="88" t="s">
        <v>765</v>
      </c>
      <c r="C158" s="77" t="s">
        <v>637</v>
      </c>
      <c r="D158" s="78" t="s">
        <v>643</v>
      </c>
      <c r="E158" s="78" t="s">
        <v>1175</v>
      </c>
      <c r="F158" s="77" t="s">
        <v>733</v>
      </c>
      <c r="G158" s="79">
        <v>0</v>
      </c>
      <c r="H158" s="79">
        <f>422858+8435+127703</f>
        <v>558996</v>
      </c>
      <c r="I158" s="79">
        <f t="shared" si="5"/>
        <v>558996</v>
      </c>
      <c r="J158" s="95"/>
    </row>
    <row r="159" spans="2:10" ht="24">
      <c r="B159" s="88" t="s">
        <v>766</v>
      </c>
      <c r="C159" s="77" t="s">
        <v>637</v>
      </c>
      <c r="D159" s="78" t="s">
        <v>643</v>
      </c>
      <c r="E159" s="78" t="s">
        <v>1175</v>
      </c>
      <c r="F159" s="77" t="s">
        <v>971</v>
      </c>
      <c r="G159" s="79">
        <v>0</v>
      </c>
      <c r="H159" s="79">
        <f>6000+9000+5000+113204</f>
        <v>133204</v>
      </c>
      <c r="I159" s="79">
        <f t="shared" si="5"/>
        <v>133204</v>
      </c>
      <c r="J159" s="95"/>
    </row>
    <row r="160" spans="2:10" ht="24">
      <c r="B160" s="88" t="s">
        <v>943</v>
      </c>
      <c r="C160" s="77" t="s">
        <v>637</v>
      </c>
      <c r="D160" s="78" t="s">
        <v>643</v>
      </c>
      <c r="E160" s="78" t="s">
        <v>672</v>
      </c>
      <c r="F160" s="77"/>
      <c r="G160" s="79">
        <f>G161</f>
        <v>59100</v>
      </c>
      <c r="H160" s="79">
        <f>H161</f>
        <v>300</v>
      </c>
      <c r="I160" s="79">
        <f t="shared" si="5"/>
        <v>59400</v>
      </c>
      <c r="J160" s="95"/>
    </row>
    <row r="161" spans="2:10" s="64" customFormat="1" ht="24">
      <c r="B161" s="88" t="s">
        <v>766</v>
      </c>
      <c r="C161" s="77" t="s">
        <v>637</v>
      </c>
      <c r="D161" s="78" t="s">
        <v>643</v>
      </c>
      <c r="E161" s="78" t="s">
        <v>672</v>
      </c>
      <c r="F161" s="77">
        <v>200</v>
      </c>
      <c r="G161" s="79">
        <v>59100</v>
      </c>
      <c r="H161" s="79">
        <f>-59100+3150+16750+13200+20000+6300</f>
        <v>300</v>
      </c>
      <c r="I161" s="79">
        <f t="shared" si="5"/>
        <v>59400</v>
      </c>
      <c r="J161" s="95"/>
    </row>
    <row r="162" spans="2:10" s="64" customFormat="1" ht="48">
      <c r="B162" s="88" t="s">
        <v>944</v>
      </c>
      <c r="C162" s="77" t="s">
        <v>637</v>
      </c>
      <c r="D162" s="78" t="s">
        <v>643</v>
      </c>
      <c r="E162" s="78" t="s">
        <v>673</v>
      </c>
      <c r="F162" s="77"/>
      <c r="G162" s="79">
        <f>G163+G164</f>
        <v>162600</v>
      </c>
      <c r="H162" s="79">
        <f>H163+H164</f>
        <v>34300</v>
      </c>
      <c r="I162" s="79">
        <f t="shared" si="5"/>
        <v>196900</v>
      </c>
      <c r="J162" s="95"/>
    </row>
    <row r="163" spans="2:10" s="64" customFormat="1" ht="48">
      <c r="B163" s="88" t="s">
        <v>765</v>
      </c>
      <c r="C163" s="77" t="s">
        <v>637</v>
      </c>
      <c r="D163" s="78" t="s">
        <v>643</v>
      </c>
      <c r="E163" s="78" t="s">
        <v>673</v>
      </c>
      <c r="F163" s="77">
        <v>100</v>
      </c>
      <c r="G163" s="79">
        <v>148515</v>
      </c>
      <c r="H163" s="79">
        <f>-148515+151240+45660</f>
        <v>48385</v>
      </c>
      <c r="I163" s="79">
        <f t="shared" si="5"/>
        <v>196900</v>
      </c>
      <c r="J163" s="95"/>
    </row>
    <row r="164" spans="2:10" s="64" customFormat="1" ht="24">
      <c r="B164" s="88" t="s">
        <v>766</v>
      </c>
      <c r="C164" s="77" t="s">
        <v>637</v>
      </c>
      <c r="D164" s="78" t="s">
        <v>643</v>
      </c>
      <c r="E164" s="78" t="s">
        <v>673</v>
      </c>
      <c r="F164" s="77">
        <v>200</v>
      </c>
      <c r="G164" s="79">
        <v>14085</v>
      </c>
      <c r="H164" s="79">
        <v>-14085</v>
      </c>
      <c r="I164" s="79">
        <f t="shared" si="5"/>
        <v>0</v>
      </c>
      <c r="J164" s="95"/>
    </row>
    <row r="165" spans="2:10" s="64" customFormat="1" ht="24">
      <c r="B165" s="88" t="s">
        <v>1123</v>
      </c>
      <c r="C165" s="77" t="s">
        <v>637</v>
      </c>
      <c r="D165" s="78" t="s">
        <v>643</v>
      </c>
      <c r="E165" s="78" t="s">
        <v>732</v>
      </c>
      <c r="F165" s="77"/>
      <c r="G165" s="79">
        <f>G166</f>
        <v>545400</v>
      </c>
      <c r="H165" s="79">
        <f>H166</f>
        <v>-545400</v>
      </c>
      <c r="I165" s="79">
        <f t="shared" si="5"/>
        <v>0</v>
      </c>
      <c r="J165" s="95"/>
    </row>
    <row r="166" spans="2:10" s="64" customFormat="1" ht="24">
      <c r="B166" s="88" t="s">
        <v>811</v>
      </c>
      <c r="C166" s="77" t="s">
        <v>637</v>
      </c>
      <c r="D166" s="78" t="s">
        <v>643</v>
      </c>
      <c r="E166" s="78" t="s">
        <v>656</v>
      </c>
      <c r="F166" s="77"/>
      <c r="G166" s="79">
        <f>G167</f>
        <v>545400</v>
      </c>
      <c r="H166" s="79">
        <f>H167</f>
        <v>-545400</v>
      </c>
      <c r="I166" s="79">
        <f t="shared" si="5"/>
        <v>0</v>
      </c>
      <c r="J166" s="95"/>
    </row>
    <row r="167" spans="2:10" s="64" customFormat="1" ht="48">
      <c r="B167" s="88" t="s">
        <v>765</v>
      </c>
      <c r="C167" s="77" t="s">
        <v>637</v>
      </c>
      <c r="D167" s="78" t="s">
        <v>643</v>
      </c>
      <c r="E167" s="78" t="s">
        <v>656</v>
      </c>
      <c r="F167" s="77" t="s">
        <v>733</v>
      </c>
      <c r="G167" s="79">
        <v>545400</v>
      </c>
      <c r="H167" s="79">
        <v>-545400</v>
      </c>
      <c r="I167" s="79">
        <f t="shared" si="5"/>
        <v>0</v>
      </c>
      <c r="J167" s="95"/>
    </row>
    <row r="168" spans="2:10" s="64" customFormat="1" ht="36">
      <c r="B168" s="88" t="s">
        <v>1137</v>
      </c>
      <c r="C168" s="77" t="s">
        <v>637</v>
      </c>
      <c r="D168" s="78" t="s">
        <v>643</v>
      </c>
      <c r="E168" s="78" t="s">
        <v>1122</v>
      </c>
      <c r="F168" s="77"/>
      <c r="G168" s="79">
        <f>G169</f>
        <v>7527718</v>
      </c>
      <c r="H168" s="79">
        <f>H169</f>
        <v>-7527718</v>
      </c>
      <c r="I168" s="79">
        <f t="shared" si="5"/>
        <v>0</v>
      </c>
      <c r="J168" s="95"/>
    </row>
    <row r="169" spans="2:10" s="64" customFormat="1" ht="24">
      <c r="B169" s="88" t="s">
        <v>1138</v>
      </c>
      <c r="C169" s="77" t="s">
        <v>637</v>
      </c>
      <c r="D169" s="78" t="s">
        <v>643</v>
      </c>
      <c r="E169" s="78" t="s">
        <v>1099</v>
      </c>
      <c r="F169" s="77"/>
      <c r="G169" s="79">
        <f>G170+G171</f>
        <v>7527718</v>
      </c>
      <c r="H169" s="79">
        <f>H170+H171</f>
        <v>-7527718</v>
      </c>
      <c r="I169" s="79">
        <f t="shared" si="5"/>
        <v>0</v>
      </c>
      <c r="J169" s="95"/>
    </row>
    <row r="170" spans="2:10" s="64" customFormat="1" ht="48">
      <c r="B170" s="88" t="s">
        <v>765</v>
      </c>
      <c r="C170" s="77" t="s">
        <v>637</v>
      </c>
      <c r="D170" s="78" t="s">
        <v>643</v>
      </c>
      <c r="E170" s="78" t="s">
        <v>1099</v>
      </c>
      <c r="F170" s="77" t="s">
        <v>733</v>
      </c>
      <c r="G170" s="79">
        <v>7527718</v>
      </c>
      <c r="H170" s="79">
        <v>-7527718</v>
      </c>
      <c r="I170" s="79">
        <f t="shared" si="5"/>
        <v>0</v>
      </c>
      <c r="J170" s="95"/>
    </row>
    <row r="171" spans="2:10" s="64" customFormat="1" ht="24" hidden="1">
      <c r="B171" s="88" t="s">
        <v>766</v>
      </c>
      <c r="C171" s="77" t="s">
        <v>637</v>
      </c>
      <c r="D171" s="78" t="s">
        <v>643</v>
      </c>
      <c r="E171" s="78" t="s">
        <v>1099</v>
      </c>
      <c r="F171" s="77" t="s">
        <v>971</v>
      </c>
      <c r="G171" s="79"/>
      <c r="H171" s="79">
        <v>0</v>
      </c>
      <c r="I171" s="79">
        <f t="shared" si="5"/>
        <v>0</v>
      </c>
      <c r="J171" s="95"/>
    </row>
    <row r="172" spans="2:10" ht="24">
      <c r="B172" s="88" t="s">
        <v>813</v>
      </c>
      <c r="C172" s="77" t="s">
        <v>637</v>
      </c>
      <c r="D172" s="78" t="s">
        <v>643</v>
      </c>
      <c r="E172" s="78" t="s">
        <v>1312</v>
      </c>
      <c r="F172" s="77"/>
      <c r="G172" s="79">
        <f>G173</f>
        <v>0</v>
      </c>
      <c r="H172" s="79">
        <f>H173</f>
        <v>299558</v>
      </c>
      <c r="I172" s="79">
        <f t="shared" si="5"/>
        <v>299558</v>
      </c>
      <c r="J172" s="95"/>
    </row>
    <row r="173" spans="2:10" ht="48">
      <c r="B173" s="88" t="s">
        <v>765</v>
      </c>
      <c r="C173" s="77" t="s">
        <v>637</v>
      </c>
      <c r="D173" s="78" t="s">
        <v>643</v>
      </c>
      <c r="E173" s="78" t="s">
        <v>1312</v>
      </c>
      <c r="F173" s="77" t="s">
        <v>733</v>
      </c>
      <c r="G173" s="79">
        <v>0</v>
      </c>
      <c r="H173" s="79">
        <f>230075+69483</f>
        <v>299558</v>
      </c>
      <c r="I173" s="79">
        <f t="shared" si="5"/>
        <v>299558</v>
      </c>
      <c r="J173" s="95"/>
    </row>
    <row r="174" spans="2:10" s="133" customFormat="1" ht="12.75">
      <c r="B174" s="127" t="s">
        <v>950</v>
      </c>
      <c r="C174" s="117" t="s">
        <v>638</v>
      </c>
      <c r="D174" s="128"/>
      <c r="E174" s="128"/>
      <c r="F174" s="117"/>
      <c r="G174" s="129">
        <f>G175</f>
        <v>586500</v>
      </c>
      <c r="H174" s="129">
        <f>H175</f>
        <v>547300</v>
      </c>
      <c r="I174" s="129">
        <f>G174+H174</f>
        <v>1133800</v>
      </c>
      <c r="J174" s="135"/>
    </row>
    <row r="175" spans="2:10" s="133" customFormat="1" ht="12.75">
      <c r="B175" s="127" t="s">
        <v>395</v>
      </c>
      <c r="C175" s="117" t="s">
        <v>638</v>
      </c>
      <c r="D175" s="128" t="s">
        <v>639</v>
      </c>
      <c r="E175" s="128"/>
      <c r="F175" s="117"/>
      <c r="G175" s="129">
        <f>G177</f>
        <v>586500</v>
      </c>
      <c r="H175" s="129">
        <f>H177</f>
        <v>547300</v>
      </c>
      <c r="I175" s="129">
        <f>G175+H175</f>
        <v>1133800</v>
      </c>
      <c r="J175" s="135"/>
    </row>
    <row r="176" spans="2:9" ht="12.75">
      <c r="B176" s="88" t="s">
        <v>807</v>
      </c>
      <c r="C176" s="77" t="s">
        <v>638</v>
      </c>
      <c r="D176" s="78" t="s">
        <v>639</v>
      </c>
      <c r="E176" s="78" t="s">
        <v>783</v>
      </c>
      <c r="F176" s="77"/>
      <c r="G176" s="79">
        <f>G177</f>
        <v>586500</v>
      </c>
      <c r="H176" s="79">
        <f>H177</f>
        <v>547300</v>
      </c>
      <c r="I176" s="79">
        <f>G176+H176</f>
        <v>1133800</v>
      </c>
    </row>
    <row r="177" spans="2:9" ht="24">
      <c r="B177" s="88" t="s">
        <v>945</v>
      </c>
      <c r="C177" s="77" t="s">
        <v>638</v>
      </c>
      <c r="D177" s="78" t="s">
        <v>639</v>
      </c>
      <c r="E177" s="78" t="s">
        <v>725</v>
      </c>
      <c r="F177" s="77"/>
      <c r="G177" s="79">
        <f>G178</f>
        <v>586500</v>
      </c>
      <c r="H177" s="79">
        <f>H178</f>
        <v>547300</v>
      </c>
      <c r="I177" s="79">
        <f>G177+H177</f>
        <v>1133800</v>
      </c>
    </row>
    <row r="178" spans="2:9" ht="12.75">
      <c r="B178" s="88" t="s">
        <v>768</v>
      </c>
      <c r="C178" s="77" t="s">
        <v>638</v>
      </c>
      <c r="D178" s="78" t="s">
        <v>639</v>
      </c>
      <c r="E178" s="78" t="s">
        <v>725</v>
      </c>
      <c r="F178" s="77">
        <v>500</v>
      </c>
      <c r="G178" s="79">
        <v>586500</v>
      </c>
      <c r="H178" s="79">
        <f>-586500+122700+306800+122700+92000+122700+122700+122700+121500</f>
        <v>547300</v>
      </c>
      <c r="I178" s="79">
        <f>G178+H178</f>
        <v>1133800</v>
      </c>
    </row>
    <row r="179" spans="2:10" s="133" customFormat="1" ht="12.75">
      <c r="B179" s="127" t="s">
        <v>955</v>
      </c>
      <c r="C179" s="117" t="s">
        <v>639</v>
      </c>
      <c r="D179" s="128"/>
      <c r="E179" s="128"/>
      <c r="F179" s="117"/>
      <c r="G179" s="129">
        <f>G180+G193</f>
        <v>3518467</v>
      </c>
      <c r="H179" s="129">
        <f>H180+H193</f>
        <v>960418.97</v>
      </c>
      <c r="I179" s="129">
        <f t="shared" si="5"/>
        <v>4478885.97</v>
      </c>
      <c r="J179" s="134"/>
    </row>
    <row r="180" spans="2:10" s="135" customFormat="1" ht="24">
      <c r="B180" s="127" t="s">
        <v>946</v>
      </c>
      <c r="C180" s="117" t="s">
        <v>639</v>
      </c>
      <c r="D180" s="128" t="s">
        <v>644</v>
      </c>
      <c r="E180" s="128"/>
      <c r="F180" s="117"/>
      <c r="G180" s="129">
        <f>G188+G182</f>
        <v>3518467</v>
      </c>
      <c r="H180" s="129">
        <f>H188+H182</f>
        <v>950722</v>
      </c>
      <c r="I180" s="129">
        <f t="shared" si="5"/>
        <v>4469189</v>
      </c>
      <c r="J180" s="134"/>
    </row>
    <row r="181" spans="2:10" s="64" customFormat="1" ht="24">
      <c r="B181" s="88" t="s">
        <v>1176</v>
      </c>
      <c r="C181" s="77" t="s">
        <v>639</v>
      </c>
      <c r="D181" s="78" t="s">
        <v>644</v>
      </c>
      <c r="E181" s="78" t="s">
        <v>1177</v>
      </c>
      <c r="F181" s="77"/>
      <c r="G181" s="79">
        <f>G182</f>
        <v>0</v>
      </c>
      <c r="H181" s="79">
        <f>H182</f>
        <v>4469189</v>
      </c>
      <c r="I181" s="79">
        <f t="shared" si="5"/>
        <v>4469189</v>
      </c>
      <c r="J181" s="95"/>
    </row>
    <row r="182" spans="2:10" s="64" customFormat="1" ht="36">
      <c r="B182" s="88" t="s">
        <v>1178</v>
      </c>
      <c r="C182" s="77" t="s">
        <v>639</v>
      </c>
      <c r="D182" s="78" t="s">
        <v>644</v>
      </c>
      <c r="E182" s="78" t="s">
        <v>1179</v>
      </c>
      <c r="F182" s="77"/>
      <c r="G182" s="79">
        <f>G184</f>
        <v>0</v>
      </c>
      <c r="H182" s="79">
        <f>H184</f>
        <v>4469189</v>
      </c>
      <c r="I182" s="79">
        <f t="shared" si="5"/>
        <v>4469189</v>
      </c>
      <c r="J182" s="95"/>
    </row>
    <row r="183" spans="2:10" ht="24">
      <c r="B183" s="88" t="s">
        <v>1180</v>
      </c>
      <c r="C183" s="77" t="s">
        <v>639</v>
      </c>
      <c r="D183" s="78" t="s">
        <v>644</v>
      </c>
      <c r="E183" s="78" t="s">
        <v>1181</v>
      </c>
      <c r="F183" s="77"/>
      <c r="G183" s="79">
        <f>G184</f>
        <v>0</v>
      </c>
      <c r="H183" s="79">
        <f>H184</f>
        <v>4469189</v>
      </c>
      <c r="I183" s="79">
        <f t="shared" si="5"/>
        <v>4469189</v>
      </c>
      <c r="J183" s="95"/>
    </row>
    <row r="184" spans="2:10" ht="12.75">
      <c r="B184" s="88" t="s">
        <v>1182</v>
      </c>
      <c r="C184" s="77" t="s">
        <v>639</v>
      </c>
      <c r="D184" s="78" t="s">
        <v>644</v>
      </c>
      <c r="E184" s="78" t="s">
        <v>1324</v>
      </c>
      <c r="F184" s="77"/>
      <c r="G184" s="79">
        <f>G185+G186+G187</f>
        <v>0</v>
      </c>
      <c r="H184" s="79">
        <f>H185+H186+H187</f>
        <v>4469189</v>
      </c>
      <c r="I184" s="79">
        <f t="shared" si="5"/>
        <v>4469189</v>
      </c>
      <c r="J184" s="95"/>
    </row>
    <row r="185" spans="2:10" ht="48">
      <c r="B185" s="88" t="s">
        <v>765</v>
      </c>
      <c r="C185" s="77" t="s">
        <v>639</v>
      </c>
      <c r="D185" s="78" t="s">
        <v>644</v>
      </c>
      <c r="E185" s="78" t="s">
        <v>1324</v>
      </c>
      <c r="F185" s="77" t="s">
        <v>733</v>
      </c>
      <c r="G185" s="79">
        <v>0</v>
      </c>
      <c r="H185" s="79">
        <f>2795000+844100</f>
        <v>3639100</v>
      </c>
      <c r="I185" s="79">
        <f t="shared" si="5"/>
        <v>3639100</v>
      </c>
      <c r="J185" s="95"/>
    </row>
    <row r="186" spans="2:10" ht="24">
      <c r="B186" s="88" t="s">
        <v>766</v>
      </c>
      <c r="C186" s="77" t="s">
        <v>639</v>
      </c>
      <c r="D186" s="78" t="s">
        <v>644</v>
      </c>
      <c r="E186" s="78" t="s">
        <v>1324</v>
      </c>
      <c r="F186" s="77" t="s">
        <v>971</v>
      </c>
      <c r="G186" s="79">
        <v>0</v>
      </c>
      <c r="H186" s="79">
        <f>54000+5400+13000+1300+1000+127389+400000+200000</f>
        <v>802089</v>
      </c>
      <c r="I186" s="79">
        <f t="shared" si="5"/>
        <v>802089</v>
      </c>
      <c r="J186" s="95"/>
    </row>
    <row r="187" spans="2:10" ht="12.75">
      <c r="B187" s="88" t="s">
        <v>769</v>
      </c>
      <c r="C187" s="77" t="s">
        <v>639</v>
      </c>
      <c r="D187" s="78" t="s">
        <v>644</v>
      </c>
      <c r="E187" s="78" t="s">
        <v>1324</v>
      </c>
      <c r="F187" s="77" t="s">
        <v>967</v>
      </c>
      <c r="G187" s="79">
        <v>0</v>
      </c>
      <c r="H187" s="79">
        <f>25000+3000</f>
        <v>28000</v>
      </c>
      <c r="I187" s="79">
        <f t="shared" si="5"/>
        <v>28000</v>
      </c>
      <c r="J187" s="95"/>
    </row>
    <row r="188" spans="2:10" ht="12.75">
      <c r="B188" s="88" t="s">
        <v>1112</v>
      </c>
      <c r="C188" s="77" t="s">
        <v>639</v>
      </c>
      <c r="D188" s="78" t="s">
        <v>644</v>
      </c>
      <c r="E188" s="78" t="s">
        <v>1101</v>
      </c>
      <c r="F188" s="77"/>
      <c r="G188" s="79">
        <f>G189</f>
        <v>3518467</v>
      </c>
      <c r="H188" s="79">
        <f>H189</f>
        <v>-3518467</v>
      </c>
      <c r="I188" s="79">
        <f t="shared" si="5"/>
        <v>0</v>
      </c>
      <c r="J188" s="95"/>
    </row>
    <row r="189" spans="2:10" ht="24">
      <c r="B189" s="88" t="s">
        <v>1136</v>
      </c>
      <c r="C189" s="77" t="s">
        <v>639</v>
      </c>
      <c r="D189" s="78" t="s">
        <v>644</v>
      </c>
      <c r="E189" s="78" t="s">
        <v>1100</v>
      </c>
      <c r="F189" s="77"/>
      <c r="G189" s="79">
        <f>G190+G191+G192</f>
        <v>3518467</v>
      </c>
      <c r="H189" s="79">
        <f>H190+H191+H192</f>
        <v>-3518467</v>
      </c>
      <c r="I189" s="79">
        <f t="shared" si="5"/>
        <v>0</v>
      </c>
      <c r="J189" s="95"/>
    </row>
    <row r="190" spans="2:10" ht="48">
      <c r="B190" s="88" t="s">
        <v>765</v>
      </c>
      <c r="C190" s="77" t="s">
        <v>639</v>
      </c>
      <c r="D190" s="78" t="s">
        <v>644</v>
      </c>
      <c r="E190" s="78" t="s">
        <v>1100</v>
      </c>
      <c r="F190" s="77" t="s">
        <v>733</v>
      </c>
      <c r="G190" s="79">
        <v>3269846</v>
      </c>
      <c r="H190" s="79">
        <v>-3269846</v>
      </c>
      <c r="I190" s="79">
        <f t="shared" si="5"/>
        <v>0</v>
      </c>
      <c r="J190" s="95"/>
    </row>
    <row r="191" spans="2:10" ht="24">
      <c r="B191" s="88" t="s">
        <v>766</v>
      </c>
      <c r="C191" s="77" t="s">
        <v>639</v>
      </c>
      <c r="D191" s="78" t="s">
        <v>644</v>
      </c>
      <c r="E191" s="78" t="s">
        <v>1100</v>
      </c>
      <c r="F191" s="77" t="s">
        <v>971</v>
      </c>
      <c r="G191" s="79">
        <v>229509</v>
      </c>
      <c r="H191" s="79">
        <v>-229509</v>
      </c>
      <c r="I191" s="79">
        <f t="shared" si="5"/>
        <v>0</v>
      </c>
      <c r="J191" s="95"/>
    </row>
    <row r="192" spans="2:10" s="64" customFormat="1" ht="12.75">
      <c r="B192" s="88" t="s">
        <v>769</v>
      </c>
      <c r="C192" s="77" t="s">
        <v>639</v>
      </c>
      <c r="D192" s="78" t="s">
        <v>644</v>
      </c>
      <c r="E192" s="78" t="s">
        <v>1100</v>
      </c>
      <c r="F192" s="77" t="s">
        <v>967</v>
      </c>
      <c r="G192" s="79">
        <v>19112</v>
      </c>
      <c r="H192" s="79">
        <v>-19112</v>
      </c>
      <c r="I192" s="79">
        <f t="shared" si="5"/>
        <v>0</v>
      </c>
      <c r="J192" s="95"/>
    </row>
    <row r="193" spans="2:10" s="135" customFormat="1" ht="24">
      <c r="B193" s="127" t="s">
        <v>1027</v>
      </c>
      <c r="C193" s="117" t="s">
        <v>639</v>
      </c>
      <c r="D193" s="128">
        <v>14</v>
      </c>
      <c r="E193" s="128"/>
      <c r="F193" s="117"/>
      <c r="G193" s="129">
        <f>G194</f>
        <v>0</v>
      </c>
      <c r="H193" s="129">
        <f aca="true" t="shared" si="6" ref="G193:H197">H194</f>
        <v>9696.97</v>
      </c>
      <c r="I193" s="129">
        <f t="shared" si="5"/>
        <v>9696.97</v>
      </c>
      <c r="J193" s="134"/>
    </row>
    <row r="194" spans="2:10" ht="48">
      <c r="B194" s="88" t="s">
        <v>1325</v>
      </c>
      <c r="C194" s="77" t="s">
        <v>639</v>
      </c>
      <c r="D194" s="78">
        <v>14</v>
      </c>
      <c r="E194" s="78" t="s">
        <v>1326</v>
      </c>
      <c r="F194" s="77"/>
      <c r="G194" s="79">
        <f t="shared" si="6"/>
        <v>0</v>
      </c>
      <c r="H194" s="79">
        <f t="shared" si="6"/>
        <v>9696.97</v>
      </c>
      <c r="I194" s="79">
        <f t="shared" si="5"/>
        <v>9696.97</v>
      </c>
      <c r="J194" s="95"/>
    </row>
    <row r="195" spans="2:10" ht="12.75">
      <c r="B195" s="88" t="s">
        <v>1327</v>
      </c>
      <c r="C195" s="77" t="s">
        <v>639</v>
      </c>
      <c r="D195" s="78">
        <v>14</v>
      </c>
      <c r="E195" s="78" t="s">
        <v>1328</v>
      </c>
      <c r="F195" s="77"/>
      <c r="G195" s="79">
        <f t="shared" si="6"/>
        <v>0</v>
      </c>
      <c r="H195" s="79">
        <f t="shared" si="6"/>
        <v>9696.97</v>
      </c>
      <c r="I195" s="79">
        <f t="shared" si="5"/>
        <v>9696.97</v>
      </c>
      <c r="J195" s="95"/>
    </row>
    <row r="196" spans="2:10" ht="24">
      <c r="B196" s="88" t="s">
        <v>1329</v>
      </c>
      <c r="C196" s="77" t="s">
        <v>639</v>
      </c>
      <c r="D196" s="78">
        <v>14</v>
      </c>
      <c r="E196" s="78" t="s">
        <v>1330</v>
      </c>
      <c r="F196" s="77"/>
      <c r="G196" s="79">
        <f t="shared" si="6"/>
        <v>0</v>
      </c>
      <c r="H196" s="79">
        <f t="shared" si="6"/>
        <v>9696.97</v>
      </c>
      <c r="I196" s="79">
        <f t="shared" si="5"/>
        <v>9696.97</v>
      </c>
      <c r="J196" s="95"/>
    </row>
    <row r="197" spans="2:10" s="64" customFormat="1" ht="60">
      <c r="B197" s="90" t="s">
        <v>1331</v>
      </c>
      <c r="C197" s="77" t="s">
        <v>639</v>
      </c>
      <c r="D197" s="78">
        <v>14</v>
      </c>
      <c r="E197" s="78" t="s">
        <v>1332</v>
      </c>
      <c r="F197" s="77"/>
      <c r="G197" s="79">
        <f t="shared" si="6"/>
        <v>0</v>
      </c>
      <c r="H197" s="79">
        <f t="shared" si="6"/>
        <v>9696.97</v>
      </c>
      <c r="I197" s="79">
        <f t="shared" si="5"/>
        <v>9696.97</v>
      </c>
      <c r="J197" s="95"/>
    </row>
    <row r="198" spans="2:10" s="64" customFormat="1" ht="24">
      <c r="B198" s="88" t="s">
        <v>766</v>
      </c>
      <c r="C198" s="77" t="s">
        <v>639</v>
      </c>
      <c r="D198" s="78">
        <v>14</v>
      </c>
      <c r="E198" s="78" t="s">
        <v>1332</v>
      </c>
      <c r="F198" s="77" t="s">
        <v>971</v>
      </c>
      <c r="G198" s="79">
        <v>0</v>
      </c>
      <c r="H198" s="79">
        <f>96.97+9600</f>
        <v>9696.97</v>
      </c>
      <c r="I198" s="79">
        <f t="shared" si="5"/>
        <v>9696.97</v>
      </c>
      <c r="J198" s="95"/>
    </row>
    <row r="199" spans="2:10" s="135" customFormat="1" ht="12.75">
      <c r="B199" s="127" t="s">
        <v>956</v>
      </c>
      <c r="C199" s="117" t="s">
        <v>640</v>
      </c>
      <c r="D199" s="128"/>
      <c r="E199" s="128"/>
      <c r="F199" s="117"/>
      <c r="G199" s="129">
        <f>G200+G235+G248+G229</f>
        <v>10752060</v>
      </c>
      <c r="H199" s="129">
        <f>H200+H235+H248+H229</f>
        <v>-407160</v>
      </c>
      <c r="I199" s="129">
        <f t="shared" si="5"/>
        <v>10344900</v>
      </c>
      <c r="J199" s="134"/>
    </row>
    <row r="200" spans="2:10" s="133" customFormat="1" ht="12.75">
      <c r="B200" s="127" t="s">
        <v>462</v>
      </c>
      <c r="C200" s="117" t="s">
        <v>640</v>
      </c>
      <c r="D200" s="128" t="s">
        <v>646</v>
      </c>
      <c r="E200" s="128"/>
      <c r="F200" s="117"/>
      <c r="G200" s="129">
        <f>G210+G221+G202</f>
        <v>2673660</v>
      </c>
      <c r="H200" s="129">
        <f>H210+H221+H202</f>
        <v>-1066560</v>
      </c>
      <c r="I200" s="129">
        <f t="shared" si="5"/>
        <v>1607100</v>
      </c>
      <c r="J200" s="134"/>
    </row>
    <row r="201" spans="2:10" ht="36">
      <c r="B201" s="88" t="s">
        <v>1183</v>
      </c>
      <c r="C201" s="77" t="s">
        <v>640</v>
      </c>
      <c r="D201" s="78" t="s">
        <v>646</v>
      </c>
      <c r="E201" s="78" t="s">
        <v>1184</v>
      </c>
      <c r="F201" s="77"/>
      <c r="G201" s="79">
        <f>G202</f>
        <v>0</v>
      </c>
      <c r="H201" s="79">
        <f>H202</f>
        <v>1607100</v>
      </c>
      <c r="I201" s="79">
        <f t="shared" si="5"/>
        <v>1607100</v>
      </c>
      <c r="J201" s="95"/>
    </row>
    <row r="202" spans="2:10" ht="24">
      <c r="B202" s="88" t="s">
        <v>1185</v>
      </c>
      <c r="C202" s="77" t="s">
        <v>640</v>
      </c>
      <c r="D202" s="78" t="s">
        <v>646</v>
      </c>
      <c r="E202" s="78" t="s">
        <v>1186</v>
      </c>
      <c r="F202" s="77"/>
      <c r="G202" s="79">
        <f>G203+G207</f>
        <v>0</v>
      </c>
      <c r="H202" s="79">
        <f>H203+H207</f>
        <v>1607100</v>
      </c>
      <c r="I202" s="79">
        <f t="shared" si="5"/>
        <v>1607100</v>
      </c>
      <c r="J202" s="95"/>
    </row>
    <row r="203" spans="2:10" ht="24">
      <c r="B203" s="88" t="s">
        <v>1187</v>
      </c>
      <c r="C203" s="77" t="s">
        <v>640</v>
      </c>
      <c r="D203" s="78" t="s">
        <v>646</v>
      </c>
      <c r="E203" s="78" t="s">
        <v>1188</v>
      </c>
      <c r="F203" s="77"/>
      <c r="G203" s="79">
        <f>G204</f>
        <v>0</v>
      </c>
      <c r="H203" s="79">
        <f>H204</f>
        <v>391500</v>
      </c>
      <c r="I203" s="79">
        <f t="shared" si="5"/>
        <v>391500</v>
      </c>
      <c r="J203" s="95"/>
    </row>
    <row r="204" spans="2:10" ht="36">
      <c r="B204" s="88" t="s">
        <v>1189</v>
      </c>
      <c r="C204" s="77" t="s">
        <v>640</v>
      </c>
      <c r="D204" s="78" t="s">
        <v>646</v>
      </c>
      <c r="E204" s="78" t="s">
        <v>1190</v>
      </c>
      <c r="F204" s="77"/>
      <c r="G204" s="79">
        <f>G205+G206</f>
        <v>0</v>
      </c>
      <c r="H204" s="79">
        <f>H205+H206</f>
        <v>391500</v>
      </c>
      <c r="I204" s="79">
        <f t="shared" si="5"/>
        <v>391500</v>
      </c>
      <c r="J204" s="95"/>
    </row>
    <row r="205" spans="2:10" ht="48">
      <c r="B205" s="88" t="s">
        <v>765</v>
      </c>
      <c r="C205" s="77" t="s">
        <v>640</v>
      </c>
      <c r="D205" s="78" t="s">
        <v>646</v>
      </c>
      <c r="E205" s="78" t="s">
        <v>1190</v>
      </c>
      <c r="F205" s="77" t="s">
        <v>733</v>
      </c>
      <c r="G205" s="79">
        <v>0</v>
      </c>
      <c r="H205" s="79">
        <f>25500+7700</f>
        <v>33200</v>
      </c>
      <c r="I205" s="79">
        <f t="shared" si="5"/>
        <v>33200</v>
      </c>
      <c r="J205" s="95"/>
    </row>
    <row r="206" spans="2:10" ht="24">
      <c r="B206" s="88" t="s">
        <v>766</v>
      </c>
      <c r="C206" s="77" t="s">
        <v>640</v>
      </c>
      <c r="D206" s="78" t="s">
        <v>646</v>
      </c>
      <c r="E206" s="78" t="s">
        <v>1190</v>
      </c>
      <c r="F206" s="77" t="s">
        <v>971</v>
      </c>
      <c r="G206" s="79">
        <v>0</v>
      </c>
      <c r="H206" s="79">
        <v>358300</v>
      </c>
      <c r="I206" s="79">
        <f t="shared" si="5"/>
        <v>358300</v>
      </c>
      <c r="J206" s="95"/>
    </row>
    <row r="207" spans="2:10" ht="24">
      <c r="B207" s="88" t="s">
        <v>1191</v>
      </c>
      <c r="C207" s="77" t="s">
        <v>640</v>
      </c>
      <c r="D207" s="78" t="s">
        <v>646</v>
      </c>
      <c r="E207" s="78" t="s">
        <v>1192</v>
      </c>
      <c r="F207" s="77"/>
      <c r="G207" s="79">
        <f>G208</f>
        <v>0</v>
      </c>
      <c r="H207" s="79">
        <f>H208</f>
        <v>1215600</v>
      </c>
      <c r="I207" s="79">
        <f t="shared" si="5"/>
        <v>1215600</v>
      </c>
      <c r="J207" s="95"/>
    </row>
    <row r="208" spans="2:10" ht="72">
      <c r="B208" s="90" t="s">
        <v>825</v>
      </c>
      <c r="C208" s="77" t="s">
        <v>640</v>
      </c>
      <c r="D208" s="78" t="s">
        <v>646</v>
      </c>
      <c r="E208" s="78" t="s">
        <v>1193</v>
      </c>
      <c r="F208" s="77"/>
      <c r="G208" s="79">
        <f>G209</f>
        <v>0</v>
      </c>
      <c r="H208" s="79">
        <f>H209</f>
        <v>1215600</v>
      </c>
      <c r="I208" s="79">
        <f t="shared" si="5"/>
        <v>1215600</v>
      </c>
      <c r="J208" s="95"/>
    </row>
    <row r="209" spans="2:10" s="64" customFormat="1" ht="24">
      <c r="B209" s="88" t="s">
        <v>766</v>
      </c>
      <c r="C209" s="77" t="s">
        <v>640</v>
      </c>
      <c r="D209" s="78" t="s">
        <v>646</v>
      </c>
      <c r="E209" s="78" t="s">
        <v>1193</v>
      </c>
      <c r="F209" s="77" t="s">
        <v>971</v>
      </c>
      <c r="G209" s="79">
        <v>0</v>
      </c>
      <c r="H209" s="79">
        <f>283800+253200+678600</f>
        <v>1215600</v>
      </c>
      <c r="I209" s="79">
        <f t="shared" si="5"/>
        <v>1215600</v>
      </c>
      <c r="J209" s="95"/>
    </row>
    <row r="210" spans="2:10" s="64" customFormat="1" ht="24">
      <c r="B210" s="88" t="s">
        <v>1068</v>
      </c>
      <c r="C210" s="77" t="s">
        <v>640</v>
      </c>
      <c r="D210" s="78" t="s">
        <v>646</v>
      </c>
      <c r="E210" s="78" t="s">
        <v>741</v>
      </c>
      <c r="F210" s="77"/>
      <c r="G210" s="79">
        <f>G211+G214+G216+G219</f>
        <v>634000</v>
      </c>
      <c r="H210" s="79">
        <f>H211+H214+H216+H219</f>
        <v>-634000</v>
      </c>
      <c r="I210" s="79">
        <f t="shared" si="5"/>
        <v>0</v>
      </c>
      <c r="J210" s="95"/>
    </row>
    <row r="211" spans="2:10" s="64" customFormat="1" ht="12.75" hidden="1">
      <c r="B211" s="88" t="s">
        <v>824</v>
      </c>
      <c r="C211" s="77" t="s">
        <v>640</v>
      </c>
      <c r="D211" s="78" t="s">
        <v>646</v>
      </c>
      <c r="E211" s="78" t="s">
        <v>678</v>
      </c>
      <c r="F211" s="77"/>
      <c r="G211" s="79">
        <f>G212+G213</f>
        <v>0</v>
      </c>
      <c r="H211" s="79">
        <f>H212+H213</f>
        <v>0</v>
      </c>
      <c r="I211" s="79">
        <f t="shared" si="5"/>
        <v>0</v>
      </c>
      <c r="J211" s="95"/>
    </row>
    <row r="212" spans="2:10" s="64" customFormat="1" ht="24" hidden="1">
      <c r="B212" s="88" t="s">
        <v>766</v>
      </c>
      <c r="C212" s="77" t="s">
        <v>640</v>
      </c>
      <c r="D212" s="78" t="s">
        <v>646</v>
      </c>
      <c r="E212" s="78" t="s">
        <v>678</v>
      </c>
      <c r="F212" s="77">
        <v>200</v>
      </c>
      <c r="G212" s="79">
        <v>0</v>
      </c>
      <c r="H212" s="79">
        <v>0</v>
      </c>
      <c r="I212" s="79">
        <f t="shared" si="5"/>
        <v>0</v>
      </c>
      <c r="J212" s="95"/>
    </row>
    <row r="213" spans="2:10" s="64" customFormat="1" ht="12.75" hidden="1">
      <c r="B213" s="88" t="s">
        <v>771</v>
      </c>
      <c r="C213" s="77" t="s">
        <v>640</v>
      </c>
      <c r="D213" s="78" t="s">
        <v>646</v>
      </c>
      <c r="E213" s="78" t="s">
        <v>678</v>
      </c>
      <c r="F213" s="77" t="s">
        <v>997</v>
      </c>
      <c r="G213" s="79"/>
      <c r="H213" s="79">
        <v>0</v>
      </c>
      <c r="I213" s="79">
        <f t="shared" si="5"/>
        <v>0</v>
      </c>
      <c r="J213" s="95"/>
    </row>
    <row r="214" spans="2:10" s="64" customFormat="1" ht="72">
      <c r="B214" s="90" t="s">
        <v>825</v>
      </c>
      <c r="C214" s="77" t="s">
        <v>640</v>
      </c>
      <c r="D214" s="78" t="s">
        <v>646</v>
      </c>
      <c r="E214" s="78" t="s">
        <v>679</v>
      </c>
      <c r="F214" s="77"/>
      <c r="G214" s="79">
        <f>G215</f>
        <v>345400</v>
      </c>
      <c r="H214" s="79">
        <f>H215</f>
        <v>-345400</v>
      </c>
      <c r="I214" s="79">
        <f t="shared" si="5"/>
        <v>0</v>
      </c>
      <c r="J214" s="95"/>
    </row>
    <row r="215" spans="2:10" ht="24">
      <c r="B215" s="88" t="s">
        <v>766</v>
      </c>
      <c r="C215" s="77" t="s">
        <v>640</v>
      </c>
      <c r="D215" s="78" t="s">
        <v>646</v>
      </c>
      <c r="E215" s="78" t="s">
        <v>679</v>
      </c>
      <c r="F215" s="77">
        <v>200</v>
      </c>
      <c r="G215" s="79">
        <v>345400</v>
      </c>
      <c r="H215" s="79">
        <v>-345400</v>
      </c>
      <c r="I215" s="79">
        <f aca="true" t="shared" si="7" ref="I215:I278">G215+H215</f>
        <v>0</v>
      </c>
      <c r="J215" s="95"/>
    </row>
    <row r="216" spans="2:10" ht="24">
      <c r="B216" s="88" t="s">
        <v>826</v>
      </c>
      <c r="C216" s="77" t="s">
        <v>640</v>
      </c>
      <c r="D216" s="78" t="s">
        <v>646</v>
      </c>
      <c r="E216" s="78" t="s">
        <v>680</v>
      </c>
      <c r="F216" s="77"/>
      <c r="G216" s="79">
        <f>G218+G217</f>
        <v>288600</v>
      </c>
      <c r="H216" s="79">
        <f>H218+H217</f>
        <v>-288600</v>
      </c>
      <c r="I216" s="79">
        <f t="shared" si="7"/>
        <v>0</v>
      </c>
      <c r="J216" s="95"/>
    </row>
    <row r="217" spans="2:10" ht="48">
      <c r="B217" s="88" t="s">
        <v>765</v>
      </c>
      <c r="C217" s="77" t="s">
        <v>640</v>
      </c>
      <c r="D217" s="78" t="s">
        <v>646</v>
      </c>
      <c r="E217" s="78" t="s">
        <v>680</v>
      </c>
      <c r="F217" s="77" t="s">
        <v>733</v>
      </c>
      <c r="G217" s="79">
        <v>32810</v>
      </c>
      <c r="H217" s="79">
        <v>-32810</v>
      </c>
      <c r="I217" s="79">
        <f t="shared" si="7"/>
        <v>0</v>
      </c>
      <c r="J217" s="95"/>
    </row>
    <row r="218" spans="2:10" ht="24">
      <c r="B218" s="88" t="s">
        <v>766</v>
      </c>
      <c r="C218" s="77" t="s">
        <v>640</v>
      </c>
      <c r="D218" s="78" t="s">
        <v>646</v>
      </c>
      <c r="E218" s="78" t="s">
        <v>680</v>
      </c>
      <c r="F218" s="77">
        <v>200</v>
      </c>
      <c r="G218" s="79">
        <v>255790</v>
      </c>
      <c r="H218" s="79">
        <v>-255790</v>
      </c>
      <c r="I218" s="79">
        <f t="shared" si="7"/>
        <v>0</v>
      </c>
      <c r="J218" s="95"/>
    </row>
    <row r="219" spans="2:10" ht="12.75" hidden="1">
      <c r="B219" s="88" t="s">
        <v>827</v>
      </c>
      <c r="C219" s="77" t="s">
        <v>640</v>
      </c>
      <c r="D219" s="78" t="s">
        <v>646</v>
      </c>
      <c r="E219" s="78" t="s">
        <v>681</v>
      </c>
      <c r="F219" s="77"/>
      <c r="G219" s="79">
        <f>G220</f>
        <v>0</v>
      </c>
      <c r="H219" s="79">
        <f>H220</f>
        <v>0</v>
      </c>
      <c r="I219" s="79">
        <f t="shared" si="7"/>
        <v>0</v>
      </c>
      <c r="J219" s="95"/>
    </row>
    <row r="220" spans="2:10" ht="24" hidden="1">
      <c r="B220" s="88" t="s">
        <v>766</v>
      </c>
      <c r="C220" s="77" t="s">
        <v>640</v>
      </c>
      <c r="D220" s="78" t="s">
        <v>646</v>
      </c>
      <c r="E220" s="78" t="s">
        <v>681</v>
      </c>
      <c r="F220" s="77">
        <v>200</v>
      </c>
      <c r="G220" s="79"/>
      <c r="H220" s="79">
        <v>0</v>
      </c>
      <c r="I220" s="79">
        <f t="shared" si="7"/>
        <v>0</v>
      </c>
      <c r="J220" s="95"/>
    </row>
    <row r="221" spans="2:10" ht="24">
      <c r="B221" s="88" t="s">
        <v>828</v>
      </c>
      <c r="C221" s="77" t="s">
        <v>640</v>
      </c>
      <c r="D221" s="78" t="s">
        <v>646</v>
      </c>
      <c r="E221" s="78" t="s">
        <v>781</v>
      </c>
      <c r="F221" s="77"/>
      <c r="G221" s="79">
        <f>G222</f>
        <v>2039660</v>
      </c>
      <c r="H221" s="79">
        <f>H222</f>
        <v>-2039660</v>
      </c>
      <c r="I221" s="79">
        <f t="shared" si="7"/>
        <v>0</v>
      </c>
      <c r="J221" s="95"/>
    </row>
    <row r="222" spans="2:10" ht="22.5">
      <c r="B222" s="88" t="s">
        <v>829</v>
      </c>
      <c r="C222" s="77" t="s">
        <v>640</v>
      </c>
      <c r="D222" s="78" t="s">
        <v>646</v>
      </c>
      <c r="E222" s="78" t="s">
        <v>787</v>
      </c>
      <c r="F222" s="77"/>
      <c r="G222" s="79">
        <f>G223+G225</f>
        <v>2039660</v>
      </c>
      <c r="H222" s="79">
        <f>H223+H225</f>
        <v>-2039660</v>
      </c>
      <c r="I222" s="79">
        <f t="shared" si="7"/>
        <v>0</v>
      </c>
      <c r="J222" s="95"/>
    </row>
    <row r="223" spans="2:10" ht="24">
      <c r="B223" s="88" t="s">
        <v>830</v>
      </c>
      <c r="C223" s="77" t="s">
        <v>640</v>
      </c>
      <c r="D223" s="78" t="s">
        <v>646</v>
      </c>
      <c r="E223" s="78" t="s">
        <v>788</v>
      </c>
      <c r="F223" s="77"/>
      <c r="G223" s="79">
        <f>G224</f>
        <v>1727510</v>
      </c>
      <c r="H223" s="79">
        <f>H224</f>
        <v>-1727510</v>
      </c>
      <c r="I223" s="79">
        <f t="shared" si="7"/>
        <v>0</v>
      </c>
      <c r="J223" s="95"/>
    </row>
    <row r="224" spans="2:10" s="64" customFormat="1" ht="48">
      <c r="B224" s="88" t="s">
        <v>765</v>
      </c>
      <c r="C224" s="77" t="s">
        <v>640</v>
      </c>
      <c r="D224" s="78" t="s">
        <v>646</v>
      </c>
      <c r="E224" s="78" t="s">
        <v>788</v>
      </c>
      <c r="F224" s="77">
        <v>100</v>
      </c>
      <c r="G224" s="79">
        <v>1727510</v>
      </c>
      <c r="H224" s="79">
        <v>-1727510</v>
      </c>
      <c r="I224" s="79">
        <f t="shared" si="7"/>
        <v>0</v>
      </c>
      <c r="J224" s="95"/>
    </row>
    <row r="225" spans="2:10" s="64" customFormat="1" ht="24">
      <c r="B225" s="88" t="s">
        <v>831</v>
      </c>
      <c r="C225" s="77" t="s">
        <v>640</v>
      </c>
      <c r="D225" s="78" t="s">
        <v>646</v>
      </c>
      <c r="E225" s="78" t="s">
        <v>789</v>
      </c>
      <c r="F225" s="77"/>
      <c r="G225" s="79">
        <f>G226+G227+G228</f>
        <v>312150</v>
      </c>
      <c r="H225" s="79">
        <f>H226+H227+H228</f>
        <v>-312150</v>
      </c>
      <c r="I225" s="79">
        <f t="shared" si="7"/>
        <v>0</v>
      </c>
      <c r="J225" s="95"/>
    </row>
    <row r="226" spans="2:10" s="64" customFormat="1" ht="48">
      <c r="B226" s="88" t="s">
        <v>765</v>
      </c>
      <c r="C226" s="77" t="s">
        <v>640</v>
      </c>
      <c r="D226" s="78" t="s">
        <v>646</v>
      </c>
      <c r="E226" s="78" t="s">
        <v>789</v>
      </c>
      <c r="F226" s="77">
        <v>100</v>
      </c>
      <c r="G226" s="79">
        <v>308150</v>
      </c>
      <c r="H226" s="79">
        <v>-308150</v>
      </c>
      <c r="I226" s="79">
        <f t="shared" si="7"/>
        <v>0</v>
      </c>
      <c r="J226" s="95"/>
    </row>
    <row r="227" spans="2:10" s="64" customFormat="1" ht="24" hidden="1">
      <c r="B227" s="88" t="s">
        <v>766</v>
      </c>
      <c r="C227" s="77" t="s">
        <v>640</v>
      </c>
      <c r="D227" s="78" t="s">
        <v>646</v>
      </c>
      <c r="E227" s="78" t="s">
        <v>789</v>
      </c>
      <c r="F227" s="77">
        <v>200</v>
      </c>
      <c r="G227" s="79">
        <v>0</v>
      </c>
      <c r="H227" s="79">
        <v>0</v>
      </c>
      <c r="I227" s="79">
        <f t="shared" si="7"/>
        <v>0</v>
      </c>
      <c r="J227" s="95"/>
    </row>
    <row r="228" spans="2:10" s="64" customFormat="1" ht="22.5">
      <c r="B228" s="88" t="s">
        <v>769</v>
      </c>
      <c r="C228" s="77" t="s">
        <v>640</v>
      </c>
      <c r="D228" s="78" t="s">
        <v>646</v>
      </c>
      <c r="E228" s="78" t="s">
        <v>789</v>
      </c>
      <c r="F228" s="77">
        <v>800</v>
      </c>
      <c r="G228" s="79">
        <v>4000</v>
      </c>
      <c r="H228" s="79">
        <v>-4000</v>
      </c>
      <c r="I228" s="79">
        <f t="shared" si="7"/>
        <v>0</v>
      </c>
      <c r="J228" s="95"/>
    </row>
    <row r="229" spans="2:10" s="135" customFormat="1" ht="12.75" hidden="1">
      <c r="B229" s="127" t="s">
        <v>354</v>
      </c>
      <c r="C229" s="117" t="s">
        <v>640</v>
      </c>
      <c r="D229" s="117" t="s">
        <v>641</v>
      </c>
      <c r="E229" s="128"/>
      <c r="F229" s="117"/>
      <c r="G229" s="129">
        <f>G230</f>
        <v>0</v>
      </c>
      <c r="H229" s="129">
        <f>H230</f>
        <v>0</v>
      </c>
      <c r="I229" s="129">
        <f t="shared" si="7"/>
        <v>0</v>
      </c>
      <c r="J229" s="134"/>
    </row>
    <row r="230" spans="2:10" s="64" customFormat="1" ht="36" hidden="1">
      <c r="B230" s="88" t="s">
        <v>1204</v>
      </c>
      <c r="C230" s="77" t="s">
        <v>640</v>
      </c>
      <c r="D230" s="77" t="s">
        <v>641</v>
      </c>
      <c r="E230" s="78" t="s">
        <v>1194</v>
      </c>
      <c r="F230" s="77"/>
      <c r="G230" s="79">
        <f aca="true" t="shared" si="8" ref="G230:H233">G231</f>
        <v>0</v>
      </c>
      <c r="H230" s="79">
        <f t="shared" si="8"/>
        <v>0</v>
      </c>
      <c r="I230" s="79">
        <f t="shared" si="7"/>
        <v>0</v>
      </c>
      <c r="J230" s="95"/>
    </row>
    <row r="231" spans="2:10" s="64" customFormat="1" ht="23.25" hidden="1">
      <c r="B231" s="88" t="s">
        <v>1333</v>
      </c>
      <c r="C231" s="77" t="s">
        <v>640</v>
      </c>
      <c r="D231" s="77" t="s">
        <v>641</v>
      </c>
      <c r="E231" s="78" t="s">
        <v>1196</v>
      </c>
      <c r="F231" s="77"/>
      <c r="G231" s="79">
        <f t="shared" si="8"/>
        <v>0</v>
      </c>
      <c r="H231" s="79">
        <f t="shared" si="8"/>
        <v>0</v>
      </c>
      <c r="I231" s="79">
        <f t="shared" si="7"/>
        <v>0</v>
      </c>
      <c r="J231" s="95"/>
    </row>
    <row r="232" spans="2:10" ht="24" hidden="1">
      <c r="B232" s="88" t="s">
        <v>1197</v>
      </c>
      <c r="C232" s="77" t="s">
        <v>640</v>
      </c>
      <c r="D232" s="77" t="s">
        <v>641</v>
      </c>
      <c r="E232" s="78" t="s">
        <v>1198</v>
      </c>
      <c r="F232" s="77"/>
      <c r="G232" s="79">
        <f t="shared" si="8"/>
        <v>0</v>
      </c>
      <c r="H232" s="79">
        <f t="shared" si="8"/>
        <v>0</v>
      </c>
      <c r="I232" s="79">
        <f t="shared" si="7"/>
        <v>0</v>
      </c>
      <c r="J232" s="95"/>
    </row>
    <row r="233" spans="2:10" ht="36" hidden="1">
      <c r="B233" s="88" t="s">
        <v>1334</v>
      </c>
      <c r="C233" s="77" t="s">
        <v>640</v>
      </c>
      <c r="D233" s="77" t="s">
        <v>641</v>
      </c>
      <c r="E233" s="78" t="s">
        <v>1335</v>
      </c>
      <c r="F233" s="77"/>
      <c r="G233" s="79">
        <f t="shared" si="8"/>
        <v>0</v>
      </c>
      <c r="H233" s="79">
        <f t="shared" si="8"/>
        <v>0</v>
      </c>
      <c r="I233" s="79">
        <f t="shared" si="7"/>
        <v>0</v>
      </c>
      <c r="J233" s="95"/>
    </row>
    <row r="234" spans="2:10" ht="24" hidden="1">
      <c r="B234" s="88" t="s">
        <v>766</v>
      </c>
      <c r="C234" s="77" t="s">
        <v>640</v>
      </c>
      <c r="D234" s="77" t="s">
        <v>641</v>
      </c>
      <c r="E234" s="78" t="s">
        <v>1335</v>
      </c>
      <c r="F234" s="77" t="s">
        <v>971</v>
      </c>
      <c r="G234" s="79"/>
      <c r="H234" s="79">
        <v>0</v>
      </c>
      <c r="I234" s="79">
        <f t="shared" si="7"/>
        <v>0</v>
      </c>
      <c r="J234" s="95"/>
    </row>
    <row r="235" spans="2:10" s="133" customFormat="1" ht="12.75">
      <c r="B235" s="127" t="s">
        <v>629</v>
      </c>
      <c r="C235" s="117" t="s">
        <v>640</v>
      </c>
      <c r="D235" s="128" t="s">
        <v>644</v>
      </c>
      <c r="E235" s="128"/>
      <c r="F235" s="117"/>
      <c r="G235" s="129">
        <f>G242+G246+G237</f>
        <v>8078400</v>
      </c>
      <c r="H235" s="129">
        <f>H242+H246+H237</f>
        <v>159400</v>
      </c>
      <c r="I235" s="129">
        <f t="shared" si="7"/>
        <v>8237800</v>
      </c>
      <c r="J235" s="134"/>
    </row>
    <row r="236" spans="2:10" ht="24">
      <c r="B236" s="88" t="s">
        <v>1176</v>
      </c>
      <c r="C236" s="77" t="s">
        <v>640</v>
      </c>
      <c r="D236" s="78" t="s">
        <v>644</v>
      </c>
      <c r="E236" s="78" t="s">
        <v>1177</v>
      </c>
      <c r="F236" s="77"/>
      <c r="G236" s="79">
        <f aca="true" t="shared" si="9" ref="G236:H238">G237</f>
        <v>0</v>
      </c>
      <c r="H236" s="79">
        <f t="shared" si="9"/>
        <v>8237800</v>
      </c>
      <c r="I236" s="79">
        <f t="shared" si="7"/>
        <v>8237800</v>
      </c>
      <c r="J236" s="95"/>
    </row>
    <row r="237" spans="2:10" ht="24">
      <c r="B237" s="88" t="s">
        <v>1195</v>
      </c>
      <c r="C237" s="77" t="s">
        <v>640</v>
      </c>
      <c r="D237" s="78" t="s">
        <v>644</v>
      </c>
      <c r="E237" s="78" t="s">
        <v>1199</v>
      </c>
      <c r="F237" s="77"/>
      <c r="G237" s="79">
        <f t="shared" si="9"/>
        <v>0</v>
      </c>
      <c r="H237" s="79">
        <f t="shared" si="9"/>
        <v>8237800</v>
      </c>
      <c r="I237" s="79">
        <f t="shared" si="7"/>
        <v>8237800</v>
      </c>
      <c r="J237" s="95"/>
    </row>
    <row r="238" spans="2:10" ht="12.75">
      <c r="B238" s="88" t="s">
        <v>1200</v>
      </c>
      <c r="C238" s="77" t="s">
        <v>640</v>
      </c>
      <c r="D238" s="78" t="s">
        <v>644</v>
      </c>
      <c r="E238" s="78" t="s">
        <v>1201</v>
      </c>
      <c r="F238" s="77"/>
      <c r="G238" s="79">
        <f t="shared" si="9"/>
        <v>0</v>
      </c>
      <c r="H238" s="79">
        <f t="shared" si="9"/>
        <v>8237800</v>
      </c>
      <c r="I238" s="79">
        <f t="shared" si="7"/>
        <v>8237800</v>
      </c>
      <c r="J238" s="95"/>
    </row>
    <row r="239" spans="2:10" ht="22.5">
      <c r="B239" s="88" t="s">
        <v>1202</v>
      </c>
      <c r="C239" s="77" t="s">
        <v>640</v>
      </c>
      <c r="D239" s="78" t="s">
        <v>644</v>
      </c>
      <c r="E239" s="78" t="s">
        <v>1203</v>
      </c>
      <c r="F239" s="77"/>
      <c r="G239" s="79">
        <f>G240+G241</f>
        <v>0</v>
      </c>
      <c r="H239" s="79">
        <f>H240+H241</f>
        <v>8237800</v>
      </c>
      <c r="I239" s="79">
        <f t="shared" si="7"/>
        <v>8237800</v>
      </c>
      <c r="J239" s="95"/>
    </row>
    <row r="240" spans="2:10" s="64" customFormat="1" ht="24">
      <c r="B240" s="88" t="s">
        <v>766</v>
      </c>
      <c r="C240" s="77" t="s">
        <v>640</v>
      </c>
      <c r="D240" s="78" t="s">
        <v>644</v>
      </c>
      <c r="E240" s="78" t="s">
        <v>1203</v>
      </c>
      <c r="F240" s="77" t="s">
        <v>971</v>
      </c>
      <c r="G240" s="79">
        <v>0</v>
      </c>
      <c r="H240" s="79">
        <f>500000+2797110</f>
        <v>3297110</v>
      </c>
      <c r="I240" s="79">
        <f t="shared" si="7"/>
        <v>3297110</v>
      </c>
      <c r="J240" s="95"/>
    </row>
    <row r="241" spans="2:10" s="64" customFormat="1" ht="22.5">
      <c r="B241" s="88" t="s">
        <v>769</v>
      </c>
      <c r="C241" s="77" t="s">
        <v>640</v>
      </c>
      <c r="D241" s="78" t="s">
        <v>644</v>
      </c>
      <c r="E241" s="78" t="s">
        <v>1203</v>
      </c>
      <c r="F241" s="77" t="s">
        <v>967</v>
      </c>
      <c r="G241" s="79">
        <v>0</v>
      </c>
      <c r="H241" s="79">
        <v>4940690</v>
      </c>
      <c r="I241" s="79">
        <f t="shared" si="7"/>
        <v>4940690</v>
      </c>
      <c r="J241" s="95"/>
    </row>
    <row r="242" spans="2:10" s="64" customFormat="1" ht="12.75">
      <c r="B242" s="88" t="s">
        <v>931</v>
      </c>
      <c r="C242" s="77" t="s">
        <v>640</v>
      </c>
      <c r="D242" s="78" t="s">
        <v>644</v>
      </c>
      <c r="E242" s="78" t="s">
        <v>742</v>
      </c>
      <c r="F242" s="77"/>
      <c r="G242" s="79">
        <f>G243</f>
        <v>8078400</v>
      </c>
      <c r="H242" s="79">
        <f>H243</f>
        <v>-8078400</v>
      </c>
      <c r="I242" s="79">
        <f t="shared" si="7"/>
        <v>0</v>
      </c>
      <c r="J242" s="95"/>
    </row>
    <row r="243" spans="2:10" ht="24">
      <c r="B243" s="88" t="s">
        <v>932</v>
      </c>
      <c r="C243" s="77" t="s">
        <v>640</v>
      </c>
      <c r="D243" s="78" t="s">
        <v>644</v>
      </c>
      <c r="E243" s="78" t="s">
        <v>682</v>
      </c>
      <c r="F243" s="77"/>
      <c r="G243" s="79">
        <f>G244+G245</f>
        <v>8078400</v>
      </c>
      <c r="H243" s="79">
        <f>H244+H245</f>
        <v>-8078400</v>
      </c>
      <c r="I243" s="79">
        <f t="shared" si="7"/>
        <v>0</v>
      </c>
      <c r="J243" s="95"/>
    </row>
    <row r="244" spans="2:10" ht="24">
      <c r="B244" s="88" t="s">
        <v>766</v>
      </c>
      <c r="C244" s="77" t="s">
        <v>640</v>
      </c>
      <c r="D244" s="78" t="s">
        <v>644</v>
      </c>
      <c r="E244" s="78" t="s">
        <v>682</v>
      </c>
      <c r="F244" s="77">
        <v>200</v>
      </c>
      <c r="G244" s="79">
        <v>8078400</v>
      </c>
      <c r="H244" s="79">
        <v>-8078400</v>
      </c>
      <c r="I244" s="79">
        <f t="shared" si="7"/>
        <v>0</v>
      </c>
      <c r="J244" s="95"/>
    </row>
    <row r="245" spans="2:10" ht="22.5" hidden="1">
      <c r="B245" s="88" t="s">
        <v>769</v>
      </c>
      <c r="C245" s="77" t="s">
        <v>640</v>
      </c>
      <c r="D245" s="78" t="s">
        <v>644</v>
      </c>
      <c r="E245" s="78" t="s">
        <v>682</v>
      </c>
      <c r="F245" s="77" t="s">
        <v>967</v>
      </c>
      <c r="G245" s="79"/>
      <c r="H245" s="79">
        <v>0</v>
      </c>
      <c r="I245" s="79">
        <f t="shared" si="7"/>
        <v>0</v>
      </c>
      <c r="J245" s="95"/>
    </row>
    <row r="246" spans="2:10" ht="12.75" hidden="1">
      <c r="B246" s="88" t="s">
        <v>1075</v>
      </c>
      <c r="C246" s="77" t="s">
        <v>640</v>
      </c>
      <c r="D246" s="78" t="s">
        <v>644</v>
      </c>
      <c r="E246" s="78" t="s">
        <v>1074</v>
      </c>
      <c r="F246" s="77"/>
      <c r="G246" s="79">
        <f>G247</f>
        <v>0</v>
      </c>
      <c r="H246" s="79">
        <f>H247</f>
        <v>0</v>
      </c>
      <c r="I246" s="79">
        <f t="shared" si="7"/>
        <v>0</v>
      </c>
      <c r="J246" s="95"/>
    </row>
    <row r="247" spans="2:10" ht="24" hidden="1">
      <c r="B247" s="88" t="s">
        <v>766</v>
      </c>
      <c r="C247" s="77" t="s">
        <v>640</v>
      </c>
      <c r="D247" s="78" t="s">
        <v>644</v>
      </c>
      <c r="E247" s="78" t="s">
        <v>1074</v>
      </c>
      <c r="F247" s="77" t="s">
        <v>971</v>
      </c>
      <c r="G247" s="79"/>
      <c r="H247" s="79">
        <v>0</v>
      </c>
      <c r="I247" s="79">
        <f t="shared" si="7"/>
        <v>0</v>
      </c>
      <c r="J247" s="95"/>
    </row>
    <row r="248" spans="2:10" s="133" customFormat="1" ht="12.75">
      <c r="B248" s="127" t="s">
        <v>469</v>
      </c>
      <c r="C248" s="117" t="s">
        <v>640</v>
      </c>
      <c r="D248" s="128" t="s">
        <v>647</v>
      </c>
      <c r="E248" s="128"/>
      <c r="F248" s="117"/>
      <c r="G248" s="129">
        <f>G271+G249+G266+G280+G283</f>
        <v>0</v>
      </c>
      <c r="H248" s="129">
        <f>H271+H249+H266+H280+H283</f>
        <v>500000</v>
      </c>
      <c r="I248" s="129">
        <f t="shared" si="7"/>
        <v>500000</v>
      </c>
      <c r="J248" s="134"/>
    </row>
    <row r="249" spans="2:10" ht="36">
      <c r="B249" s="88" t="s">
        <v>1183</v>
      </c>
      <c r="C249" s="77" t="s">
        <v>640</v>
      </c>
      <c r="D249" s="78" t="s">
        <v>647</v>
      </c>
      <c r="E249" s="78" t="s">
        <v>1184</v>
      </c>
      <c r="F249" s="77"/>
      <c r="G249" s="79">
        <f>G250</f>
        <v>0</v>
      </c>
      <c r="H249" s="79">
        <f>H250</f>
        <v>300000</v>
      </c>
      <c r="I249" s="79">
        <f t="shared" si="7"/>
        <v>300000</v>
      </c>
      <c r="J249" s="95"/>
    </row>
    <row r="250" spans="2:10" ht="12.75">
      <c r="B250" s="88" t="s">
        <v>1336</v>
      </c>
      <c r="C250" s="77" t="s">
        <v>640</v>
      </c>
      <c r="D250" s="78" t="s">
        <v>647</v>
      </c>
      <c r="E250" s="78" t="s">
        <v>1337</v>
      </c>
      <c r="F250" s="77"/>
      <c r="G250" s="79">
        <f>G251+G254</f>
        <v>0</v>
      </c>
      <c r="H250" s="79">
        <f>H251+H254</f>
        <v>300000</v>
      </c>
      <c r="I250" s="79">
        <f t="shared" si="7"/>
        <v>300000</v>
      </c>
      <c r="J250" s="95"/>
    </row>
    <row r="251" spans="1:10" ht="36">
      <c r="A251" s="80"/>
      <c r="B251" s="88" t="s">
        <v>1338</v>
      </c>
      <c r="C251" s="77" t="s">
        <v>640</v>
      </c>
      <c r="D251" s="78" t="s">
        <v>647</v>
      </c>
      <c r="E251" s="78" t="s">
        <v>1339</v>
      </c>
      <c r="F251" s="77"/>
      <c r="G251" s="79">
        <f>G253+G252</f>
        <v>0</v>
      </c>
      <c r="H251" s="79">
        <f>H253+H252</f>
        <v>270000</v>
      </c>
      <c r="I251" s="79">
        <f t="shared" si="7"/>
        <v>270000</v>
      </c>
      <c r="J251" s="95"/>
    </row>
    <row r="252" spans="1:10" s="64" customFormat="1" ht="24" hidden="1">
      <c r="A252" s="67"/>
      <c r="B252" s="88" t="s">
        <v>766</v>
      </c>
      <c r="C252" s="77" t="s">
        <v>640</v>
      </c>
      <c r="D252" s="78" t="s">
        <v>647</v>
      </c>
      <c r="E252" s="78" t="s">
        <v>1339</v>
      </c>
      <c r="F252" s="77" t="s">
        <v>971</v>
      </c>
      <c r="G252" s="79">
        <v>0</v>
      </c>
      <c r="H252" s="79">
        <v>0</v>
      </c>
      <c r="I252" s="79">
        <f t="shared" si="7"/>
        <v>0</v>
      </c>
      <c r="J252" s="95"/>
    </row>
    <row r="253" spans="1:10" s="64" customFormat="1" ht="12.75">
      <c r="A253" s="67"/>
      <c r="B253" s="88" t="s">
        <v>769</v>
      </c>
      <c r="C253" s="77" t="s">
        <v>640</v>
      </c>
      <c r="D253" s="78" t="s">
        <v>647</v>
      </c>
      <c r="E253" s="78" t="s">
        <v>1339</v>
      </c>
      <c r="F253" s="77">
        <v>800</v>
      </c>
      <c r="G253" s="79">
        <v>0</v>
      </c>
      <c r="H253" s="79">
        <v>270000</v>
      </c>
      <c r="I253" s="79">
        <f t="shared" si="7"/>
        <v>270000</v>
      </c>
      <c r="J253" s="95"/>
    </row>
    <row r="254" spans="1:10" s="64" customFormat="1" ht="24">
      <c r="A254" s="67"/>
      <c r="B254" s="88" t="s">
        <v>1340</v>
      </c>
      <c r="C254" s="77" t="s">
        <v>640</v>
      </c>
      <c r="D254" s="78" t="s">
        <v>647</v>
      </c>
      <c r="E254" s="78" t="s">
        <v>1341</v>
      </c>
      <c r="F254" s="77"/>
      <c r="G254" s="79">
        <f>G255</f>
        <v>0</v>
      </c>
      <c r="H254" s="79">
        <f>H255</f>
        <v>30000</v>
      </c>
      <c r="I254" s="79">
        <f t="shared" si="7"/>
        <v>30000</v>
      </c>
      <c r="J254" s="95"/>
    </row>
    <row r="255" spans="1:10" s="64" customFormat="1" ht="24">
      <c r="A255" s="67"/>
      <c r="B255" s="88" t="s">
        <v>766</v>
      </c>
      <c r="C255" s="77" t="s">
        <v>640</v>
      </c>
      <c r="D255" s="78" t="s">
        <v>647</v>
      </c>
      <c r="E255" s="78" t="s">
        <v>1341</v>
      </c>
      <c r="F255" s="77" t="s">
        <v>971</v>
      </c>
      <c r="G255" s="79">
        <v>0</v>
      </c>
      <c r="H255" s="79">
        <v>30000</v>
      </c>
      <c r="I255" s="79">
        <f t="shared" si="7"/>
        <v>30000</v>
      </c>
      <c r="J255" s="95"/>
    </row>
    <row r="256" spans="1:10" s="64" customFormat="1" ht="48" hidden="1">
      <c r="A256" s="67"/>
      <c r="B256" s="88" t="s">
        <v>1067</v>
      </c>
      <c r="C256" s="77" t="s">
        <v>640</v>
      </c>
      <c r="D256" s="78" t="s">
        <v>647</v>
      </c>
      <c r="E256" s="78" t="s">
        <v>968</v>
      </c>
      <c r="F256" s="77"/>
      <c r="G256" s="79">
        <f>G257</f>
        <v>0</v>
      </c>
      <c r="H256" s="79">
        <f>H257</f>
        <v>0</v>
      </c>
      <c r="I256" s="79">
        <f t="shared" si="7"/>
        <v>0</v>
      </c>
      <c r="J256" s="95"/>
    </row>
    <row r="257" spans="1:10" s="64" customFormat="1" ht="48" hidden="1">
      <c r="A257" s="67"/>
      <c r="B257" s="88" t="s">
        <v>1067</v>
      </c>
      <c r="C257" s="77" t="s">
        <v>640</v>
      </c>
      <c r="D257" s="78" t="s">
        <v>647</v>
      </c>
      <c r="E257" s="78" t="s">
        <v>968</v>
      </c>
      <c r="F257" s="77" t="s">
        <v>967</v>
      </c>
      <c r="G257" s="79">
        <v>0</v>
      </c>
      <c r="H257" s="79">
        <v>0</v>
      </c>
      <c r="I257" s="79">
        <f t="shared" si="7"/>
        <v>0</v>
      </c>
      <c r="J257" s="95"/>
    </row>
    <row r="258" spans="1:10" s="64" customFormat="1" ht="48" hidden="1">
      <c r="A258" s="67"/>
      <c r="B258" s="88" t="s">
        <v>1067</v>
      </c>
      <c r="C258" s="77" t="s">
        <v>640</v>
      </c>
      <c r="D258" s="78" t="s">
        <v>647</v>
      </c>
      <c r="E258" s="78" t="s">
        <v>969</v>
      </c>
      <c r="F258" s="77"/>
      <c r="G258" s="79">
        <f>G259</f>
        <v>0</v>
      </c>
      <c r="H258" s="79">
        <f>H259</f>
        <v>0</v>
      </c>
      <c r="I258" s="79">
        <f t="shared" si="7"/>
        <v>0</v>
      </c>
      <c r="J258" s="95"/>
    </row>
    <row r="259" spans="1:10" s="64" customFormat="1" ht="12.75" hidden="1">
      <c r="A259" s="67"/>
      <c r="B259" s="88" t="s">
        <v>769</v>
      </c>
      <c r="C259" s="77" t="s">
        <v>640</v>
      </c>
      <c r="D259" s="78" t="s">
        <v>647</v>
      </c>
      <c r="E259" s="78" t="s">
        <v>969</v>
      </c>
      <c r="F259" s="77" t="s">
        <v>967</v>
      </c>
      <c r="G259" s="79">
        <v>0</v>
      </c>
      <c r="H259" s="79">
        <v>0</v>
      </c>
      <c r="I259" s="79">
        <f t="shared" si="7"/>
        <v>0</v>
      </c>
      <c r="J259" s="95"/>
    </row>
    <row r="260" spans="1:10" s="64" customFormat="1" ht="24" hidden="1">
      <c r="A260" s="67"/>
      <c r="B260" s="88" t="s">
        <v>1115</v>
      </c>
      <c r="C260" s="77" t="s">
        <v>640</v>
      </c>
      <c r="D260" s="78" t="s">
        <v>647</v>
      </c>
      <c r="E260" s="78" t="s">
        <v>1102</v>
      </c>
      <c r="F260" s="77"/>
      <c r="G260" s="79">
        <f>G261</f>
        <v>0</v>
      </c>
      <c r="H260" s="79">
        <f>H261</f>
        <v>0</v>
      </c>
      <c r="I260" s="79">
        <f t="shared" si="7"/>
        <v>0</v>
      </c>
      <c r="J260" s="95"/>
    </row>
    <row r="261" spans="1:10" s="64" customFormat="1" ht="48" hidden="1">
      <c r="A261" s="67"/>
      <c r="B261" s="88" t="s">
        <v>1067</v>
      </c>
      <c r="C261" s="77" t="s">
        <v>640</v>
      </c>
      <c r="D261" s="78" t="s">
        <v>647</v>
      </c>
      <c r="E261" s="78" t="s">
        <v>1102</v>
      </c>
      <c r="F261" s="77" t="s">
        <v>967</v>
      </c>
      <c r="G261" s="79"/>
      <c r="H261" s="79">
        <v>0</v>
      </c>
      <c r="I261" s="79">
        <f t="shared" si="7"/>
        <v>0</v>
      </c>
      <c r="J261" s="95"/>
    </row>
    <row r="262" spans="1:10" ht="24" hidden="1">
      <c r="A262" s="80"/>
      <c r="B262" s="88" t="s">
        <v>1040</v>
      </c>
      <c r="C262" s="77" t="s">
        <v>640</v>
      </c>
      <c r="D262" s="78" t="s">
        <v>647</v>
      </c>
      <c r="E262" s="78" t="s">
        <v>1030</v>
      </c>
      <c r="F262" s="77"/>
      <c r="G262" s="79">
        <f>G263</f>
        <v>0</v>
      </c>
      <c r="H262" s="79">
        <f>H263</f>
        <v>0</v>
      </c>
      <c r="I262" s="79">
        <f t="shared" si="7"/>
        <v>0</v>
      </c>
      <c r="J262" s="95"/>
    </row>
    <row r="263" spans="1:10" ht="12.75" hidden="1">
      <c r="A263" s="80"/>
      <c r="B263" s="88" t="s">
        <v>769</v>
      </c>
      <c r="C263" s="77" t="s">
        <v>640</v>
      </c>
      <c r="D263" s="78" t="s">
        <v>647</v>
      </c>
      <c r="E263" s="78" t="s">
        <v>1030</v>
      </c>
      <c r="F263" s="77" t="s">
        <v>967</v>
      </c>
      <c r="G263" s="79"/>
      <c r="H263" s="79">
        <v>0</v>
      </c>
      <c r="I263" s="79">
        <f t="shared" si="7"/>
        <v>0</v>
      </c>
      <c r="J263" s="95"/>
    </row>
    <row r="264" spans="1:10" ht="24" hidden="1">
      <c r="A264" s="80"/>
      <c r="B264" s="88" t="s">
        <v>823</v>
      </c>
      <c r="C264" s="77" t="s">
        <v>640</v>
      </c>
      <c r="D264" s="78" t="s">
        <v>647</v>
      </c>
      <c r="E264" s="78" t="s">
        <v>683</v>
      </c>
      <c r="F264" s="77"/>
      <c r="G264" s="79">
        <f>G265</f>
        <v>0</v>
      </c>
      <c r="H264" s="79">
        <f>H265</f>
        <v>0</v>
      </c>
      <c r="I264" s="79">
        <f t="shared" si="7"/>
        <v>0</v>
      </c>
      <c r="J264" s="95"/>
    </row>
    <row r="265" spans="1:10" ht="24" hidden="1">
      <c r="A265" s="80"/>
      <c r="B265" s="88" t="s">
        <v>766</v>
      </c>
      <c r="C265" s="77" t="s">
        <v>640</v>
      </c>
      <c r="D265" s="78" t="s">
        <v>647</v>
      </c>
      <c r="E265" s="78" t="s">
        <v>683</v>
      </c>
      <c r="F265" s="77">
        <v>200</v>
      </c>
      <c r="G265" s="79">
        <v>0</v>
      </c>
      <c r="H265" s="79">
        <v>0</v>
      </c>
      <c r="I265" s="79">
        <f t="shared" si="7"/>
        <v>0</v>
      </c>
      <c r="J265" s="95"/>
    </row>
    <row r="266" spans="1:10" ht="24" hidden="1">
      <c r="A266" s="80"/>
      <c r="B266" s="88" t="s">
        <v>915</v>
      </c>
      <c r="C266" s="77" t="s">
        <v>640</v>
      </c>
      <c r="D266" s="78" t="s">
        <v>647</v>
      </c>
      <c r="E266" s="78" t="s">
        <v>791</v>
      </c>
      <c r="F266" s="77"/>
      <c r="G266" s="79">
        <f>G267+G269</f>
        <v>0</v>
      </c>
      <c r="H266" s="79">
        <f>H267+H269</f>
        <v>0</v>
      </c>
      <c r="I266" s="79">
        <f t="shared" si="7"/>
        <v>0</v>
      </c>
      <c r="J266" s="95"/>
    </row>
    <row r="267" spans="1:10" ht="24" hidden="1">
      <c r="A267" s="80"/>
      <c r="B267" s="88" t="s">
        <v>916</v>
      </c>
      <c r="C267" s="77" t="s">
        <v>640</v>
      </c>
      <c r="D267" s="78" t="s">
        <v>647</v>
      </c>
      <c r="E267" s="78" t="s">
        <v>790</v>
      </c>
      <c r="F267" s="77"/>
      <c r="G267" s="79">
        <f>G268</f>
        <v>0</v>
      </c>
      <c r="H267" s="79">
        <f>H268</f>
        <v>0</v>
      </c>
      <c r="I267" s="79">
        <f t="shared" si="7"/>
        <v>0</v>
      </c>
      <c r="J267" s="95"/>
    </row>
    <row r="268" spans="1:10" ht="24" hidden="1">
      <c r="A268" s="80"/>
      <c r="B268" s="88" t="s">
        <v>766</v>
      </c>
      <c r="C268" s="77" t="s">
        <v>640</v>
      </c>
      <c r="D268" s="78" t="s">
        <v>647</v>
      </c>
      <c r="E268" s="78" t="s">
        <v>790</v>
      </c>
      <c r="F268" s="77">
        <v>200</v>
      </c>
      <c r="G268" s="79">
        <v>0</v>
      </c>
      <c r="H268" s="79">
        <v>0</v>
      </c>
      <c r="I268" s="79">
        <f t="shared" si="7"/>
        <v>0</v>
      </c>
      <c r="J268" s="95"/>
    </row>
    <row r="269" spans="1:10" ht="48" hidden="1">
      <c r="A269" s="80"/>
      <c r="B269" s="88" t="s">
        <v>917</v>
      </c>
      <c r="C269" s="77" t="s">
        <v>640</v>
      </c>
      <c r="D269" s="78" t="s">
        <v>647</v>
      </c>
      <c r="E269" s="78" t="s">
        <v>685</v>
      </c>
      <c r="F269" s="77"/>
      <c r="G269" s="79">
        <f>G270</f>
        <v>0</v>
      </c>
      <c r="H269" s="79">
        <f>H270</f>
        <v>0</v>
      </c>
      <c r="I269" s="79">
        <f t="shared" si="7"/>
        <v>0</v>
      </c>
      <c r="J269" s="95"/>
    </row>
    <row r="270" spans="1:10" ht="24" hidden="1">
      <c r="A270" s="80"/>
      <c r="B270" s="88" t="s">
        <v>766</v>
      </c>
      <c r="C270" s="77" t="s">
        <v>640</v>
      </c>
      <c r="D270" s="78" t="s">
        <v>647</v>
      </c>
      <c r="E270" s="78" t="s">
        <v>685</v>
      </c>
      <c r="F270" s="77">
        <v>200</v>
      </c>
      <c r="G270" s="79">
        <v>0</v>
      </c>
      <c r="H270" s="79">
        <v>0</v>
      </c>
      <c r="I270" s="79">
        <f t="shared" si="7"/>
        <v>0</v>
      </c>
      <c r="J270" s="95"/>
    </row>
    <row r="271" spans="1:10" ht="24" hidden="1">
      <c r="A271" s="80"/>
      <c r="B271" s="88" t="s">
        <v>926</v>
      </c>
      <c r="C271" s="77" t="s">
        <v>640</v>
      </c>
      <c r="D271" s="78" t="s">
        <v>647</v>
      </c>
      <c r="E271" s="78" t="s">
        <v>748</v>
      </c>
      <c r="F271" s="77"/>
      <c r="G271" s="79">
        <f>G272+G277</f>
        <v>0</v>
      </c>
      <c r="H271" s="79">
        <f>H272+H277</f>
        <v>0</v>
      </c>
      <c r="I271" s="79">
        <f t="shared" si="7"/>
        <v>0</v>
      </c>
      <c r="J271" s="95"/>
    </row>
    <row r="272" spans="1:10" ht="24" hidden="1">
      <c r="A272" s="80"/>
      <c r="B272" s="88" t="s">
        <v>965</v>
      </c>
      <c r="C272" s="77" t="s">
        <v>640</v>
      </c>
      <c r="D272" s="78" t="s">
        <v>647</v>
      </c>
      <c r="E272" s="78" t="s">
        <v>963</v>
      </c>
      <c r="F272" s="77"/>
      <c r="G272" s="79">
        <f>G273+G275</f>
        <v>0</v>
      </c>
      <c r="H272" s="79">
        <f>H273+H275</f>
        <v>0</v>
      </c>
      <c r="I272" s="79">
        <f t="shared" si="7"/>
        <v>0</v>
      </c>
      <c r="J272" s="95"/>
    </row>
    <row r="273" spans="1:10" ht="24" hidden="1">
      <c r="A273" s="80"/>
      <c r="B273" s="88" t="s">
        <v>964</v>
      </c>
      <c r="C273" s="77" t="s">
        <v>640</v>
      </c>
      <c r="D273" s="78" t="s">
        <v>647</v>
      </c>
      <c r="E273" s="78" t="s">
        <v>962</v>
      </c>
      <c r="F273" s="77"/>
      <c r="G273" s="79">
        <f>G274</f>
        <v>0</v>
      </c>
      <c r="H273" s="79">
        <f>H274</f>
        <v>0</v>
      </c>
      <c r="I273" s="79">
        <f t="shared" si="7"/>
        <v>0</v>
      </c>
      <c r="J273" s="95"/>
    </row>
    <row r="274" spans="1:10" ht="24" hidden="1">
      <c r="A274" s="80"/>
      <c r="B274" s="88" t="s">
        <v>766</v>
      </c>
      <c r="C274" s="77" t="s">
        <v>640</v>
      </c>
      <c r="D274" s="78" t="s">
        <v>647</v>
      </c>
      <c r="E274" s="78" t="s">
        <v>962</v>
      </c>
      <c r="F274" s="77">
        <v>200</v>
      </c>
      <c r="G274" s="79">
        <v>0</v>
      </c>
      <c r="H274" s="79">
        <v>0</v>
      </c>
      <c r="I274" s="79">
        <f t="shared" si="7"/>
        <v>0</v>
      </c>
      <c r="J274" s="95"/>
    </row>
    <row r="275" spans="1:10" ht="24" hidden="1">
      <c r="A275" s="80"/>
      <c r="B275" s="88" t="s">
        <v>1003</v>
      </c>
      <c r="C275" s="77" t="s">
        <v>640</v>
      </c>
      <c r="D275" s="78" t="s">
        <v>647</v>
      </c>
      <c r="E275" s="78" t="s">
        <v>1002</v>
      </c>
      <c r="F275" s="77"/>
      <c r="G275" s="79">
        <f>G276</f>
        <v>0</v>
      </c>
      <c r="H275" s="79">
        <f>H276</f>
        <v>0</v>
      </c>
      <c r="I275" s="79">
        <f t="shared" si="7"/>
        <v>0</v>
      </c>
      <c r="J275" s="95"/>
    </row>
    <row r="276" spans="1:10" ht="24" hidden="1">
      <c r="A276" s="80"/>
      <c r="B276" s="88" t="s">
        <v>766</v>
      </c>
      <c r="C276" s="77" t="s">
        <v>640</v>
      </c>
      <c r="D276" s="78" t="s">
        <v>647</v>
      </c>
      <c r="E276" s="78" t="s">
        <v>1002</v>
      </c>
      <c r="F276" s="77" t="s">
        <v>971</v>
      </c>
      <c r="G276" s="79">
        <v>0</v>
      </c>
      <c r="H276" s="79">
        <v>0</v>
      </c>
      <c r="I276" s="79">
        <f t="shared" si="7"/>
        <v>0</v>
      </c>
      <c r="J276" s="95"/>
    </row>
    <row r="277" spans="1:10" ht="36" hidden="1">
      <c r="A277" s="80"/>
      <c r="B277" s="88" t="s">
        <v>1041</v>
      </c>
      <c r="C277" s="77" t="s">
        <v>640</v>
      </c>
      <c r="D277" s="78" t="s">
        <v>647</v>
      </c>
      <c r="E277" s="78" t="s">
        <v>1032</v>
      </c>
      <c r="F277" s="77"/>
      <c r="G277" s="79">
        <f>G278</f>
        <v>0</v>
      </c>
      <c r="H277" s="79">
        <f>H278</f>
        <v>0</v>
      </c>
      <c r="I277" s="79">
        <f t="shared" si="7"/>
        <v>0</v>
      </c>
      <c r="J277" s="95"/>
    </row>
    <row r="278" spans="1:10" ht="96" hidden="1">
      <c r="A278" s="80"/>
      <c r="B278" s="90" t="s">
        <v>1045</v>
      </c>
      <c r="C278" s="77" t="s">
        <v>640</v>
      </c>
      <c r="D278" s="78" t="s">
        <v>647</v>
      </c>
      <c r="E278" s="78" t="s">
        <v>1031</v>
      </c>
      <c r="F278" s="77"/>
      <c r="G278" s="79">
        <f>G279</f>
        <v>0</v>
      </c>
      <c r="H278" s="79">
        <f>H279</f>
        <v>0</v>
      </c>
      <c r="I278" s="79">
        <f t="shared" si="7"/>
        <v>0</v>
      </c>
      <c r="J278" s="95"/>
    </row>
    <row r="279" spans="2:10" ht="24" hidden="1">
      <c r="B279" s="88" t="s">
        <v>766</v>
      </c>
      <c r="C279" s="77" t="s">
        <v>640</v>
      </c>
      <c r="D279" s="78" t="s">
        <v>647</v>
      </c>
      <c r="E279" s="78" t="s">
        <v>1031</v>
      </c>
      <c r="F279" s="77" t="s">
        <v>971</v>
      </c>
      <c r="G279" s="79">
        <v>0</v>
      </c>
      <c r="H279" s="79">
        <v>0</v>
      </c>
      <c r="I279" s="79">
        <f aca="true" t="shared" si="10" ref="I279:I303">G279+H279</f>
        <v>0</v>
      </c>
      <c r="J279" s="95"/>
    </row>
    <row r="280" spans="2:10" s="64" customFormat="1" ht="12.75" hidden="1">
      <c r="B280" s="88" t="s">
        <v>931</v>
      </c>
      <c r="C280" s="77" t="s">
        <v>640</v>
      </c>
      <c r="D280" s="78" t="s">
        <v>647</v>
      </c>
      <c r="E280" s="78" t="s">
        <v>742</v>
      </c>
      <c r="F280" s="77"/>
      <c r="G280" s="79">
        <f>G281</f>
        <v>0</v>
      </c>
      <c r="H280" s="79">
        <f>H281</f>
        <v>0</v>
      </c>
      <c r="I280" s="79">
        <f t="shared" si="10"/>
        <v>0</v>
      </c>
      <c r="J280" s="95"/>
    </row>
    <row r="281" spans="2:10" s="64" customFormat="1" ht="12.75" hidden="1">
      <c r="B281" s="88" t="s">
        <v>1075</v>
      </c>
      <c r="C281" s="77" t="s">
        <v>640</v>
      </c>
      <c r="D281" s="78" t="s">
        <v>647</v>
      </c>
      <c r="E281" s="78" t="s">
        <v>1074</v>
      </c>
      <c r="F281" s="77"/>
      <c r="G281" s="79">
        <f>G282</f>
        <v>0</v>
      </c>
      <c r="H281" s="79">
        <f>H282</f>
        <v>0</v>
      </c>
      <c r="I281" s="79">
        <f t="shared" si="10"/>
        <v>0</v>
      </c>
      <c r="J281" s="95"/>
    </row>
    <row r="282" spans="2:10" s="64" customFormat="1" ht="24" hidden="1">
      <c r="B282" s="88" t="s">
        <v>766</v>
      </c>
      <c r="C282" s="77" t="s">
        <v>640</v>
      </c>
      <c r="D282" s="78" t="s">
        <v>647</v>
      </c>
      <c r="E282" s="78" t="s">
        <v>1074</v>
      </c>
      <c r="F282" s="77" t="s">
        <v>971</v>
      </c>
      <c r="G282" s="79">
        <v>0</v>
      </c>
      <c r="H282" s="79">
        <v>0</v>
      </c>
      <c r="I282" s="79">
        <f t="shared" si="10"/>
        <v>0</v>
      </c>
      <c r="J282" s="95"/>
    </row>
    <row r="283" spans="2:10" ht="24">
      <c r="B283" s="88" t="s">
        <v>1167</v>
      </c>
      <c r="C283" s="77" t="s">
        <v>640</v>
      </c>
      <c r="D283" s="78" t="s">
        <v>647</v>
      </c>
      <c r="E283" s="78" t="s">
        <v>1168</v>
      </c>
      <c r="F283" s="77"/>
      <c r="G283" s="79">
        <f aca="true" t="shared" si="11" ref="G283:H285">G284</f>
        <v>0</v>
      </c>
      <c r="H283" s="79">
        <f t="shared" si="11"/>
        <v>200000</v>
      </c>
      <c r="I283" s="79">
        <f t="shared" si="10"/>
        <v>200000</v>
      </c>
      <c r="J283" s="95"/>
    </row>
    <row r="284" spans="2:10" ht="24">
      <c r="B284" s="88" t="s">
        <v>1342</v>
      </c>
      <c r="C284" s="77" t="s">
        <v>640</v>
      </c>
      <c r="D284" s="78" t="s">
        <v>647</v>
      </c>
      <c r="E284" s="78" t="s">
        <v>1343</v>
      </c>
      <c r="F284" s="77"/>
      <c r="G284" s="79">
        <f t="shared" si="11"/>
        <v>0</v>
      </c>
      <c r="H284" s="79">
        <f t="shared" si="11"/>
        <v>200000</v>
      </c>
      <c r="I284" s="79">
        <f t="shared" si="10"/>
        <v>200000</v>
      </c>
      <c r="J284" s="95"/>
    </row>
    <row r="285" spans="2:10" ht="24">
      <c r="B285" s="88" t="s">
        <v>1344</v>
      </c>
      <c r="C285" s="77" t="s">
        <v>640</v>
      </c>
      <c r="D285" s="78" t="s">
        <v>647</v>
      </c>
      <c r="E285" s="78" t="s">
        <v>1345</v>
      </c>
      <c r="F285" s="77"/>
      <c r="G285" s="79">
        <f t="shared" si="11"/>
        <v>0</v>
      </c>
      <c r="H285" s="79">
        <f t="shared" si="11"/>
        <v>200000</v>
      </c>
      <c r="I285" s="79">
        <f t="shared" si="10"/>
        <v>200000</v>
      </c>
      <c r="J285" s="95"/>
    </row>
    <row r="286" spans="2:10" ht="24">
      <c r="B286" s="88" t="s">
        <v>766</v>
      </c>
      <c r="C286" s="77" t="s">
        <v>640</v>
      </c>
      <c r="D286" s="78" t="s">
        <v>647</v>
      </c>
      <c r="E286" s="78" t="s">
        <v>1345</v>
      </c>
      <c r="F286" s="77" t="s">
        <v>971</v>
      </c>
      <c r="G286" s="79">
        <v>0</v>
      </c>
      <c r="H286" s="79">
        <v>200000</v>
      </c>
      <c r="I286" s="79">
        <f t="shared" si="10"/>
        <v>200000</v>
      </c>
      <c r="J286" s="95"/>
    </row>
    <row r="287" spans="2:10" s="133" customFormat="1" ht="12.75">
      <c r="B287" s="127" t="s">
        <v>954</v>
      </c>
      <c r="C287" s="117" t="s">
        <v>646</v>
      </c>
      <c r="D287" s="128"/>
      <c r="E287" s="128"/>
      <c r="F287" s="117"/>
      <c r="G287" s="129">
        <f>G288</f>
        <v>17727405</v>
      </c>
      <c r="H287" s="129">
        <f>H288</f>
        <v>-13634630.05</v>
      </c>
      <c r="I287" s="129">
        <f t="shared" si="10"/>
        <v>4092774.9499999993</v>
      </c>
      <c r="J287" s="134"/>
    </row>
    <row r="288" spans="2:10" s="135" customFormat="1" ht="12.75">
      <c r="B288" s="127" t="s">
        <v>576</v>
      </c>
      <c r="C288" s="117" t="s">
        <v>646</v>
      </c>
      <c r="D288" s="128" t="s">
        <v>638</v>
      </c>
      <c r="E288" s="128"/>
      <c r="F288" s="117"/>
      <c r="G288" s="129">
        <f>G298+G301+G290+G294+G304</f>
        <v>17727405</v>
      </c>
      <c r="H288" s="129">
        <f>H298+H301+H290+H294+H304</f>
        <v>-13634630.05</v>
      </c>
      <c r="I288" s="129">
        <f t="shared" si="10"/>
        <v>4092774.9499999993</v>
      </c>
      <c r="J288" s="134"/>
    </row>
    <row r="289" spans="2:10" s="64" customFormat="1" ht="36">
      <c r="B289" s="88" t="s">
        <v>1204</v>
      </c>
      <c r="C289" s="77" t="s">
        <v>646</v>
      </c>
      <c r="D289" s="78" t="s">
        <v>638</v>
      </c>
      <c r="E289" s="78" t="s">
        <v>1177</v>
      </c>
      <c r="F289" s="77"/>
      <c r="G289" s="79">
        <f>G290+G294</f>
        <v>0</v>
      </c>
      <c r="H289" s="79">
        <f>H290+H294</f>
        <v>3161794.95</v>
      </c>
      <c r="I289" s="79">
        <f t="shared" si="10"/>
        <v>3161794.95</v>
      </c>
      <c r="J289" s="95"/>
    </row>
    <row r="290" spans="2:10" ht="12.75">
      <c r="B290" s="88" t="s">
        <v>1205</v>
      </c>
      <c r="C290" s="77" t="s">
        <v>646</v>
      </c>
      <c r="D290" s="78" t="s">
        <v>638</v>
      </c>
      <c r="E290" s="78" t="s">
        <v>1206</v>
      </c>
      <c r="F290" s="77"/>
      <c r="G290" s="79">
        <f aca="true" t="shared" si="12" ref="G290:H292">G291</f>
        <v>0</v>
      </c>
      <c r="H290" s="79">
        <f t="shared" si="12"/>
        <v>1822300</v>
      </c>
      <c r="I290" s="79">
        <f t="shared" si="10"/>
        <v>1822300</v>
      </c>
      <c r="J290" s="95"/>
    </row>
    <row r="291" spans="2:10" ht="24">
      <c r="B291" s="88" t="s">
        <v>1207</v>
      </c>
      <c r="C291" s="77" t="s">
        <v>646</v>
      </c>
      <c r="D291" s="78" t="s">
        <v>638</v>
      </c>
      <c r="E291" s="78" t="s">
        <v>763</v>
      </c>
      <c r="F291" s="77"/>
      <c r="G291" s="79">
        <f t="shared" si="12"/>
        <v>0</v>
      </c>
      <c r="H291" s="79">
        <f t="shared" si="12"/>
        <v>1822300</v>
      </c>
      <c r="I291" s="79">
        <f t="shared" si="10"/>
        <v>1822300</v>
      </c>
      <c r="J291" s="95"/>
    </row>
    <row r="292" spans="2:10" ht="36">
      <c r="B292" s="88" t="s">
        <v>925</v>
      </c>
      <c r="C292" s="77" t="s">
        <v>646</v>
      </c>
      <c r="D292" s="78" t="s">
        <v>638</v>
      </c>
      <c r="E292" s="78" t="s">
        <v>1208</v>
      </c>
      <c r="F292" s="77"/>
      <c r="G292" s="79">
        <f t="shared" si="12"/>
        <v>0</v>
      </c>
      <c r="H292" s="79">
        <f t="shared" si="12"/>
        <v>1822300</v>
      </c>
      <c r="I292" s="79">
        <f t="shared" si="10"/>
        <v>1822300</v>
      </c>
      <c r="J292" s="95"/>
    </row>
    <row r="293" spans="2:10" ht="12.75">
      <c r="B293" s="88" t="s">
        <v>769</v>
      </c>
      <c r="C293" s="77" t="s">
        <v>646</v>
      </c>
      <c r="D293" s="78" t="s">
        <v>638</v>
      </c>
      <c r="E293" s="78" t="s">
        <v>1208</v>
      </c>
      <c r="F293" s="77" t="s">
        <v>967</v>
      </c>
      <c r="G293" s="79">
        <v>0</v>
      </c>
      <c r="H293" s="79">
        <v>1822300</v>
      </c>
      <c r="I293" s="79">
        <f t="shared" si="10"/>
        <v>1822300</v>
      </c>
      <c r="J293" s="95"/>
    </row>
    <row r="294" spans="2:10" ht="24">
      <c r="B294" s="88" t="s">
        <v>1346</v>
      </c>
      <c r="C294" s="77" t="s">
        <v>646</v>
      </c>
      <c r="D294" s="78" t="s">
        <v>638</v>
      </c>
      <c r="E294" s="78" t="s">
        <v>1347</v>
      </c>
      <c r="F294" s="77"/>
      <c r="G294" s="79">
        <f aca="true" t="shared" si="13" ref="G294:H296">G295</f>
        <v>0</v>
      </c>
      <c r="H294" s="79">
        <f t="shared" si="13"/>
        <v>1339494.95</v>
      </c>
      <c r="I294" s="79">
        <f t="shared" si="10"/>
        <v>1339494.95</v>
      </c>
      <c r="J294" s="95"/>
    </row>
    <row r="295" spans="2:10" ht="24">
      <c r="B295" s="88" t="s">
        <v>1348</v>
      </c>
      <c r="C295" s="77" t="s">
        <v>646</v>
      </c>
      <c r="D295" s="78" t="s">
        <v>638</v>
      </c>
      <c r="E295" s="78" t="s">
        <v>739</v>
      </c>
      <c r="F295" s="77"/>
      <c r="G295" s="79">
        <f t="shared" si="13"/>
        <v>0</v>
      </c>
      <c r="H295" s="79">
        <f t="shared" si="13"/>
        <v>1339494.95</v>
      </c>
      <c r="I295" s="79">
        <f t="shared" si="10"/>
        <v>1339494.95</v>
      </c>
      <c r="J295" s="95"/>
    </row>
    <row r="296" spans="2:10" ht="72">
      <c r="B296" s="90" t="s">
        <v>1349</v>
      </c>
      <c r="C296" s="77" t="s">
        <v>646</v>
      </c>
      <c r="D296" s="78" t="s">
        <v>638</v>
      </c>
      <c r="E296" s="78" t="s">
        <v>1350</v>
      </c>
      <c r="F296" s="77"/>
      <c r="G296" s="79">
        <f t="shared" si="13"/>
        <v>0</v>
      </c>
      <c r="H296" s="79">
        <f t="shared" si="13"/>
        <v>1339494.95</v>
      </c>
      <c r="I296" s="79">
        <f t="shared" si="10"/>
        <v>1339494.95</v>
      </c>
      <c r="J296" s="95"/>
    </row>
    <row r="297" spans="2:10" ht="12.75">
      <c r="B297" s="88" t="s">
        <v>769</v>
      </c>
      <c r="C297" s="77" t="s">
        <v>646</v>
      </c>
      <c r="D297" s="78" t="s">
        <v>638</v>
      </c>
      <c r="E297" s="78" t="s">
        <v>1350</v>
      </c>
      <c r="F297" s="77" t="s">
        <v>967</v>
      </c>
      <c r="G297" s="79">
        <v>0</v>
      </c>
      <c r="H297" s="79">
        <f>13394.95+1326100</f>
        <v>1339494.95</v>
      </c>
      <c r="I297" s="79">
        <f t="shared" si="10"/>
        <v>1339494.95</v>
      </c>
      <c r="J297" s="95"/>
    </row>
    <row r="298" spans="2:10" ht="24">
      <c r="B298" s="88" t="s">
        <v>918</v>
      </c>
      <c r="C298" s="77" t="s">
        <v>646</v>
      </c>
      <c r="D298" s="78" t="s">
        <v>638</v>
      </c>
      <c r="E298" s="78" t="s">
        <v>745</v>
      </c>
      <c r="F298" s="77"/>
      <c r="G298" s="79">
        <f>G299</f>
        <v>1686000</v>
      </c>
      <c r="H298" s="79">
        <f>H299</f>
        <v>-1686000</v>
      </c>
      <c r="I298" s="79">
        <f t="shared" si="10"/>
        <v>0</v>
      </c>
      <c r="J298" s="95"/>
    </row>
    <row r="299" spans="2:10" ht="36">
      <c r="B299" s="88" t="s">
        <v>925</v>
      </c>
      <c r="C299" s="77" t="s">
        <v>646</v>
      </c>
      <c r="D299" s="78" t="s">
        <v>638</v>
      </c>
      <c r="E299" s="78" t="s">
        <v>688</v>
      </c>
      <c r="F299" s="77"/>
      <c r="G299" s="79">
        <f>G300</f>
        <v>1686000</v>
      </c>
      <c r="H299" s="79">
        <f>H300</f>
        <v>-1686000</v>
      </c>
      <c r="I299" s="79">
        <f t="shared" si="10"/>
        <v>0</v>
      </c>
      <c r="J299" s="95"/>
    </row>
    <row r="300" spans="2:10" ht="12.75">
      <c r="B300" s="88" t="s">
        <v>769</v>
      </c>
      <c r="C300" s="77" t="s">
        <v>646</v>
      </c>
      <c r="D300" s="78" t="s">
        <v>638</v>
      </c>
      <c r="E300" s="78" t="s">
        <v>688</v>
      </c>
      <c r="F300" s="77">
        <v>800</v>
      </c>
      <c r="G300" s="79">
        <v>1686000</v>
      </c>
      <c r="H300" s="79">
        <v>-1686000</v>
      </c>
      <c r="I300" s="79">
        <f t="shared" si="10"/>
        <v>0</v>
      </c>
      <c r="J300" s="95"/>
    </row>
    <row r="301" spans="2:10" ht="12.75">
      <c r="B301" s="88" t="s">
        <v>947</v>
      </c>
      <c r="C301" s="77" t="s">
        <v>646</v>
      </c>
      <c r="D301" s="78" t="s">
        <v>638</v>
      </c>
      <c r="E301" s="78" t="s">
        <v>948</v>
      </c>
      <c r="F301" s="77"/>
      <c r="G301" s="79">
        <f>G302</f>
        <v>16041405</v>
      </c>
      <c r="H301" s="79">
        <f>H302</f>
        <v>-16041405</v>
      </c>
      <c r="I301" s="79">
        <f t="shared" si="10"/>
        <v>0</v>
      </c>
      <c r="J301" s="95"/>
    </row>
    <row r="302" spans="2:10" ht="24">
      <c r="B302" s="88" t="s">
        <v>938</v>
      </c>
      <c r="C302" s="77" t="s">
        <v>646</v>
      </c>
      <c r="D302" s="78" t="s">
        <v>638</v>
      </c>
      <c r="E302" s="78" t="s">
        <v>691</v>
      </c>
      <c r="F302" s="77"/>
      <c r="G302" s="79">
        <f>G303</f>
        <v>16041405</v>
      </c>
      <c r="H302" s="79">
        <f>H303</f>
        <v>-16041405</v>
      </c>
      <c r="I302" s="79">
        <f t="shared" si="10"/>
        <v>0</v>
      </c>
      <c r="J302" s="95"/>
    </row>
    <row r="303" spans="2:10" ht="24">
      <c r="B303" s="88" t="s">
        <v>772</v>
      </c>
      <c r="C303" s="77" t="s">
        <v>646</v>
      </c>
      <c r="D303" s="78" t="s">
        <v>638</v>
      </c>
      <c r="E303" s="78" t="s">
        <v>691</v>
      </c>
      <c r="F303" s="77">
        <v>400</v>
      </c>
      <c r="G303" s="79">
        <v>16041405</v>
      </c>
      <c r="H303" s="79">
        <v>-16041405</v>
      </c>
      <c r="I303" s="79">
        <f t="shared" si="10"/>
        <v>0</v>
      </c>
      <c r="J303" s="95"/>
    </row>
    <row r="304" spans="2:9" ht="36">
      <c r="B304" s="88" t="s">
        <v>1410</v>
      </c>
      <c r="C304" s="77" t="s">
        <v>646</v>
      </c>
      <c r="D304" s="78" t="s">
        <v>638</v>
      </c>
      <c r="E304" s="78" t="s">
        <v>1162</v>
      </c>
      <c r="F304" s="77"/>
      <c r="G304" s="79">
        <f aca="true" t="shared" si="14" ref="G304:H308">G305</f>
        <v>0</v>
      </c>
      <c r="H304" s="79">
        <f>H305</f>
        <v>930980</v>
      </c>
      <c r="I304" s="79">
        <f aca="true" t="shared" si="15" ref="I304:I309">G304+H304</f>
        <v>930980</v>
      </c>
    </row>
    <row r="305" spans="2:9" ht="24">
      <c r="B305" s="88" t="s">
        <v>1296</v>
      </c>
      <c r="C305" s="77" t="s">
        <v>646</v>
      </c>
      <c r="D305" s="78" t="s">
        <v>638</v>
      </c>
      <c r="E305" s="78" t="s">
        <v>1297</v>
      </c>
      <c r="F305" s="77"/>
      <c r="G305" s="79">
        <f t="shared" si="14"/>
        <v>0</v>
      </c>
      <c r="H305" s="79">
        <f t="shared" si="14"/>
        <v>930980</v>
      </c>
      <c r="I305" s="79">
        <f t="shared" si="15"/>
        <v>930980</v>
      </c>
    </row>
    <row r="306" spans="2:9" ht="36">
      <c r="B306" s="88" t="s">
        <v>1298</v>
      </c>
      <c r="C306" s="77" t="s">
        <v>646</v>
      </c>
      <c r="D306" s="78" t="s">
        <v>638</v>
      </c>
      <c r="E306" s="78" t="s">
        <v>1299</v>
      </c>
      <c r="F306" s="77"/>
      <c r="G306" s="79">
        <f t="shared" si="14"/>
        <v>0</v>
      </c>
      <c r="H306" s="79">
        <f t="shared" si="14"/>
        <v>930980</v>
      </c>
      <c r="I306" s="79">
        <f t="shared" si="15"/>
        <v>930980</v>
      </c>
    </row>
    <row r="307" spans="2:9" ht="24">
      <c r="B307" s="88" t="s">
        <v>1303</v>
      </c>
      <c r="C307" s="77" t="s">
        <v>646</v>
      </c>
      <c r="D307" s="78" t="s">
        <v>638</v>
      </c>
      <c r="E307" s="78" t="s">
        <v>1304</v>
      </c>
      <c r="F307" s="77"/>
      <c r="G307" s="79">
        <f t="shared" si="14"/>
        <v>0</v>
      </c>
      <c r="H307" s="79">
        <f t="shared" si="14"/>
        <v>930980</v>
      </c>
      <c r="I307" s="79">
        <f t="shared" si="15"/>
        <v>930980</v>
      </c>
    </row>
    <row r="308" spans="2:9" ht="22.5">
      <c r="B308" s="88" t="s">
        <v>611</v>
      </c>
      <c r="C308" s="77" t="s">
        <v>646</v>
      </c>
      <c r="D308" s="78" t="s">
        <v>638</v>
      </c>
      <c r="E308" s="78" t="s">
        <v>1411</v>
      </c>
      <c r="F308" s="77"/>
      <c r="G308" s="79">
        <f t="shared" si="14"/>
        <v>0</v>
      </c>
      <c r="H308" s="79">
        <f t="shared" si="14"/>
        <v>930980</v>
      </c>
      <c r="I308" s="79">
        <f t="shared" si="15"/>
        <v>930980</v>
      </c>
    </row>
    <row r="309" spans="2:9" ht="22.5">
      <c r="B309" s="88" t="s">
        <v>768</v>
      </c>
      <c r="C309" s="77" t="s">
        <v>646</v>
      </c>
      <c r="D309" s="78" t="s">
        <v>638</v>
      </c>
      <c r="E309" s="78" t="s">
        <v>1411</v>
      </c>
      <c r="F309" s="77">
        <v>500</v>
      </c>
      <c r="G309" s="79">
        <f>904668-904668</f>
        <v>0</v>
      </c>
      <c r="H309" s="79">
        <v>930980</v>
      </c>
      <c r="I309" s="79">
        <f t="shared" si="15"/>
        <v>930980</v>
      </c>
    </row>
    <row r="310" spans="2:10" s="133" customFormat="1" ht="12.75">
      <c r="B310" s="127" t="s">
        <v>952</v>
      </c>
      <c r="C310" s="117" t="s">
        <v>648</v>
      </c>
      <c r="D310" s="128"/>
      <c r="E310" s="128"/>
      <c r="F310" s="117"/>
      <c r="G310" s="129">
        <f>G311+G347+G432+G444+G391</f>
        <v>492372542.84000003</v>
      </c>
      <c r="H310" s="129">
        <f>H311+H347+H432+H444+H391</f>
        <v>219543936.5</v>
      </c>
      <c r="I310" s="129">
        <f aca="true" t="shared" si="16" ref="I310:I342">G310+H310</f>
        <v>711916479.34</v>
      </c>
      <c r="J310" s="134"/>
    </row>
    <row r="311" spans="2:10" s="135" customFormat="1" ht="12.75">
      <c r="B311" s="127" t="s">
        <v>393</v>
      </c>
      <c r="C311" s="117" t="s">
        <v>648</v>
      </c>
      <c r="D311" s="128" t="s">
        <v>637</v>
      </c>
      <c r="E311" s="128"/>
      <c r="F311" s="117"/>
      <c r="G311" s="129">
        <f>G312+G321+G324</f>
        <v>99651703.84</v>
      </c>
      <c r="H311" s="129">
        <f>H312+H321+H324</f>
        <v>131841988.63</v>
      </c>
      <c r="I311" s="129">
        <f t="shared" si="16"/>
        <v>231493692.47</v>
      </c>
      <c r="J311" s="134"/>
    </row>
    <row r="312" spans="2:10" s="64" customFormat="1" ht="12.75">
      <c r="B312" s="88" t="s">
        <v>1070</v>
      </c>
      <c r="C312" s="77" t="s">
        <v>648</v>
      </c>
      <c r="D312" s="78" t="s">
        <v>637</v>
      </c>
      <c r="E312" s="78" t="s">
        <v>757</v>
      </c>
      <c r="F312" s="77"/>
      <c r="G312" s="79">
        <f>G313+G317+G315+G319</f>
        <v>83829801.98</v>
      </c>
      <c r="H312" s="79">
        <f>H313+H317+H315+H319</f>
        <v>-83829801.98</v>
      </c>
      <c r="I312" s="79">
        <f t="shared" si="16"/>
        <v>0</v>
      </c>
      <c r="J312" s="95"/>
    </row>
    <row r="313" spans="2:10" s="64" customFormat="1" ht="12.75">
      <c r="B313" s="88" t="s">
        <v>853</v>
      </c>
      <c r="C313" s="77" t="s">
        <v>648</v>
      </c>
      <c r="D313" s="78" t="s">
        <v>637</v>
      </c>
      <c r="E313" s="78" t="s">
        <v>714</v>
      </c>
      <c r="F313" s="77"/>
      <c r="G313" s="79">
        <f>G314</f>
        <v>32169507.98</v>
      </c>
      <c r="H313" s="79">
        <f>H314</f>
        <v>-32169507.98</v>
      </c>
      <c r="I313" s="79">
        <f t="shared" si="16"/>
        <v>0</v>
      </c>
      <c r="J313" s="95"/>
    </row>
    <row r="314" spans="2:10" s="64" customFormat="1" ht="24">
      <c r="B314" s="88" t="s">
        <v>767</v>
      </c>
      <c r="C314" s="77" t="s">
        <v>648</v>
      </c>
      <c r="D314" s="78" t="s">
        <v>637</v>
      </c>
      <c r="E314" s="78" t="s">
        <v>714</v>
      </c>
      <c r="F314" s="77">
        <v>600</v>
      </c>
      <c r="G314" s="79">
        <f>32327727-158219.02</f>
        <v>32169507.98</v>
      </c>
      <c r="H314" s="79">
        <v>-32169507.98</v>
      </c>
      <c r="I314" s="79">
        <f t="shared" si="16"/>
        <v>0</v>
      </c>
      <c r="J314" s="95"/>
    </row>
    <row r="315" spans="2:10" s="64" customFormat="1" ht="84">
      <c r="B315" s="90" t="s">
        <v>1128</v>
      </c>
      <c r="C315" s="77" t="s">
        <v>648</v>
      </c>
      <c r="D315" s="78" t="s">
        <v>637</v>
      </c>
      <c r="E315" s="78" t="s">
        <v>1129</v>
      </c>
      <c r="F315" s="77"/>
      <c r="G315" s="79">
        <f>G316</f>
        <v>834900</v>
      </c>
      <c r="H315" s="79">
        <f>H316</f>
        <v>-834900</v>
      </c>
      <c r="I315" s="79">
        <f t="shared" si="16"/>
        <v>0</v>
      </c>
      <c r="J315" s="95"/>
    </row>
    <row r="316" spans="2:10" s="64" customFormat="1" ht="24">
      <c r="B316" s="88" t="s">
        <v>767</v>
      </c>
      <c r="C316" s="77" t="s">
        <v>648</v>
      </c>
      <c r="D316" s="78" t="s">
        <v>637</v>
      </c>
      <c r="E316" s="78" t="s">
        <v>1129</v>
      </c>
      <c r="F316" s="77" t="s">
        <v>973</v>
      </c>
      <c r="G316" s="79">
        <v>834900</v>
      </c>
      <c r="H316" s="79">
        <v>-834900</v>
      </c>
      <c r="I316" s="79">
        <f t="shared" si="16"/>
        <v>0</v>
      </c>
      <c r="J316" s="95"/>
    </row>
    <row r="317" spans="2:10" s="64" customFormat="1" ht="96">
      <c r="B317" s="90" t="s">
        <v>855</v>
      </c>
      <c r="C317" s="77" t="s">
        <v>648</v>
      </c>
      <c r="D317" s="78" t="s">
        <v>637</v>
      </c>
      <c r="E317" s="78" t="s">
        <v>715</v>
      </c>
      <c r="F317" s="77"/>
      <c r="G317" s="79">
        <f>G318</f>
        <v>50684294</v>
      </c>
      <c r="H317" s="79">
        <f>H318</f>
        <v>-50684294</v>
      </c>
      <c r="I317" s="79">
        <f t="shared" si="16"/>
        <v>0</v>
      </c>
      <c r="J317" s="95"/>
    </row>
    <row r="318" spans="2:10" s="64" customFormat="1" ht="24">
      <c r="B318" s="88" t="s">
        <v>767</v>
      </c>
      <c r="C318" s="77" t="s">
        <v>648</v>
      </c>
      <c r="D318" s="78" t="s">
        <v>637</v>
      </c>
      <c r="E318" s="78" t="s">
        <v>715</v>
      </c>
      <c r="F318" s="77">
        <v>600</v>
      </c>
      <c r="G318" s="79">
        <v>50684294</v>
      </c>
      <c r="H318" s="79">
        <v>-50684294</v>
      </c>
      <c r="I318" s="79">
        <f t="shared" si="16"/>
        <v>0</v>
      </c>
      <c r="J318" s="95"/>
    </row>
    <row r="319" spans="2:10" s="64" customFormat="1" ht="24">
      <c r="B319" s="88" t="s">
        <v>1130</v>
      </c>
      <c r="C319" s="77" t="s">
        <v>648</v>
      </c>
      <c r="D319" s="78" t="s">
        <v>637</v>
      </c>
      <c r="E319" s="78" t="s">
        <v>1135</v>
      </c>
      <c r="F319" s="77"/>
      <c r="G319" s="79">
        <f>G320</f>
        <v>141100</v>
      </c>
      <c r="H319" s="79">
        <f>H320</f>
        <v>-141100</v>
      </c>
      <c r="I319" s="79">
        <f t="shared" si="16"/>
        <v>0</v>
      </c>
      <c r="J319" s="95"/>
    </row>
    <row r="320" spans="2:10" s="64" customFormat="1" ht="24">
      <c r="B320" s="88" t="s">
        <v>767</v>
      </c>
      <c r="C320" s="77" t="s">
        <v>648</v>
      </c>
      <c r="D320" s="78" t="s">
        <v>637</v>
      </c>
      <c r="E320" s="78" t="s">
        <v>1135</v>
      </c>
      <c r="F320" s="77" t="s">
        <v>973</v>
      </c>
      <c r="G320" s="79">
        <v>141100</v>
      </c>
      <c r="H320" s="79">
        <v>-141100</v>
      </c>
      <c r="I320" s="79">
        <f t="shared" si="16"/>
        <v>0</v>
      </c>
      <c r="J320" s="95"/>
    </row>
    <row r="321" spans="2:10" s="64" customFormat="1" ht="36">
      <c r="B321" s="88" t="s">
        <v>866</v>
      </c>
      <c r="C321" s="77" t="s">
        <v>648</v>
      </c>
      <c r="D321" s="78" t="s">
        <v>637</v>
      </c>
      <c r="E321" s="78" t="s">
        <v>736</v>
      </c>
      <c r="F321" s="77"/>
      <c r="G321" s="79">
        <f>G322</f>
        <v>15821901.86</v>
      </c>
      <c r="H321" s="79">
        <f>H322</f>
        <v>-15821901.86</v>
      </c>
      <c r="I321" s="79">
        <f t="shared" si="16"/>
        <v>0</v>
      </c>
      <c r="J321" s="95"/>
    </row>
    <row r="322" spans="2:10" s="64" customFormat="1" ht="48">
      <c r="B322" s="88" t="s">
        <v>1147</v>
      </c>
      <c r="C322" s="69" t="s">
        <v>648</v>
      </c>
      <c r="D322" s="70" t="s">
        <v>637</v>
      </c>
      <c r="E322" s="78" t="s">
        <v>1146</v>
      </c>
      <c r="F322" s="69"/>
      <c r="G322" s="71">
        <f>G323</f>
        <v>15821901.86</v>
      </c>
      <c r="H322" s="71">
        <f>H323</f>
        <v>-15821901.86</v>
      </c>
      <c r="I322" s="79">
        <f t="shared" si="16"/>
        <v>0</v>
      </c>
      <c r="J322" s="95"/>
    </row>
    <row r="323" spans="2:10" s="64" customFormat="1" ht="24">
      <c r="B323" s="88" t="s">
        <v>772</v>
      </c>
      <c r="C323" s="69" t="s">
        <v>648</v>
      </c>
      <c r="D323" s="70" t="s">
        <v>637</v>
      </c>
      <c r="E323" s="78" t="s">
        <v>1146</v>
      </c>
      <c r="F323" s="69" t="s">
        <v>1007</v>
      </c>
      <c r="G323" s="71">
        <v>15821901.86</v>
      </c>
      <c r="H323" s="71">
        <v>-15821901.86</v>
      </c>
      <c r="I323" s="79">
        <f t="shared" si="16"/>
        <v>0</v>
      </c>
      <c r="J323" s="95"/>
    </row>
    <row r="324" spans="2:10" s="64" customFormat="1" ht="24">
      <c r="B324" s="88" t="s">
        <v>1209</v>
      </c>
      <c r="C324" s="77" t="s">
        <v>648</v>
      </c>
      <c r="D324" s="78" t="s">
        <v>637</v>
      </c>
      <c r="E324" s="78" t="s">
        <v>1210</v>
      </c>
      <c r="F324" s="77"/>
      <c r="G324" s="79">
        <f>G325</f>
        <v>0</v>
      </c>
      <c r="H324" s="79">
        <f>H325</f>
        <v>231493692.47</v>
      </c>
      <c r="I324" s="79">
        <f t="shared" si="16"/>
        <v>231493692.47</v>
      </c>
      <c r="J324" s="95"/>
    </row>
    <row r="325" spans="2:10" s="64" customFormat="1" ht="12.75">
      <c r="B325" s="88" t="s">
        <v>1211</v>
      </c>
      <c r="C325" s="77" t="s">
        <v>648</v>
      </c>
      <c r="D325" s="78" t="s">
        <v>637</v>
      </c>
      <c r="E325" s="78" t="s">
        <v>1212</v>
      </c>
      <c r="F325" s="77"/>
      <c r="G325" s="79">
        <f>G326+G337+G339+G341+G343+G345</f>
        <v>0</v>
      </c>
      <c r="H325" s="79">
        <f>H326+H337+H339+H341+H343+H345</f>
        <v>231493692.47</v>
      </c>
      <c r="I325" s="79">
        <f t="shared" si="16"/>
        <v>231493692.47</v>
      </c>
      <c r="J325" s="95"/>
    </row>
    <row r="326" spans="2:10" s="64" customFormat="1" ht="24">
      <c r="B326" s="88" t="s">
        <v>1213</v>
      </c>
      <c r="C326" s="77" t="s">
        <v>648</v>
      </c>
      <c r="D326" s="78" t="s">
        <v>637</v>
      </c>
      <c r="E326" s="78" t="s">
        <v>1214</v>
      </c>
      <c r="F326" s="77"/>
      <c r="G326" s="79">
        <f>G327+G329+G331+G333+G335</f>
        <v>0</v>
      </c>
      <c r="H326" s="79">
        <f>H327+H329+H331+H333+H335</f>
        <v>114979476</v>
      </c>
      <c r="I326" s="79">
        <f t="shared" si="16"/>
        <v>114979476</v>
      </c>
      <c r="J326" s="95"/>
    </row>
    <row r="327" spans="2:10" s="64" customFormat="1" ht="12.75">
      <c r="B327" s="88" t="s">
        <v>1215</v>
      </c>
      <c r="C327" s="77" t="s">
        <v>648</v>
      </c>
      <c r="D327" s="78" t="s">
        <v>637</v>
      </c>
      <c r="E327" s="78" t="s">
        <v>1216</v>
      </c>
      <c r="F327" s="77"/>
      <c r="G327" s="79">
        <f>G328</f>
        <v>0</v>
      </c>
      <c r="H327" s="79">
        <f>H328</f>
        <v>31876276</v>
      </c>
      <c r="I327" s="79">
        <f t="shared" si="16"/>
        <v>31876276</v>
      </c>
      <c r="J327" s="95"/>
    </row>
    <row r="328" spans="2:10" s="64" customFormat="1" ht="24">
      <c r="B328" s="88" t="s">
        <v>767</v>
      </c>
      <c r="C328" s="77" t="s">
        <v>648</v>
      </c>
      <c r="D328" s="78" t="s">
        <v>637</v>
      </c>
      <c r="E328" s="78" t="s">
        <v>1216</v>
      </c>
      <c r="F328" s="77" t="s">
        <v>973</v>
      </c>
      <c r="G328" s="79">
        <v>0</v>
      </c>
      <c r="H328" s="79">
        <f>13611600+350000+4110700+125000+5504000+1960316+612000+110600+200000+115000+95400+2000000+2202500+629160+250000</f>
        <v>31876276</v>
      </c>
      <c r="I328" s="79">
        <f t="shared" si="16"/>
        <v>31876276</v>
      </c>
      <c r="J328" s="95"/>
    </row>
    <row r="329" spans="2:10" s="64" customFormat="1" ht="72">
      <c r="B329" s="90" t="s">
        <v>1217</v>
      </c>
      <c r="C329" s="77" t="s">
        <v>648</v>
      </c>
      <c r="D329" s="78" t="s">
        <v>637</v>
      </c>
      <c r="E329" s="78" t="s">
        <v>1218</v>
      </c>
      <c r="F329" s="77"/>
      <c r="G329" s="79">
        <f>G330</f>
        <v>0</v>
      </c>
      <c r="H329" s="79">
        <f>H330</f>
        <v>66353600</v>
      </c>
      <c r="I329" s="79">
        <f t="shared" si="16"/>
        <v>66353600</v>
      </c>
      <c r="J329" s="95"/>
    </row>
    <row r="330" spans="2:10" s="64" customFormat="1" ht="24">
      <c r="B330" s="88" t="s">
        <v>767</v>
      </c>
      <c r="C330" s="77" t="s">
        <v>648</v>
      </c>
      <c r="D330" s="78" t="s">
        <v>637</v>
      </c>
      <c r="E330" s="78" t="s">
        <v>1218</v>
      </c>
      <c r="F330" s="77" t="s">
        <v>973</v>
      </c>
      <c r="G330" s="79">
        <v>0</v>
      </c>
      <c r="H330" s="79">
        <f>50962826+15390774</f>
        <v>66353600</v>
      </c>
      <c r="I330" s="79">
        <f t="shared" si="16"/>
        <v>66353600</v>
      </c>
      <c r="J330" s="95"/>
    </row>
    <row r="331" spans="2:10" s="64" customFormat="1" ht="84">
      <c r="B331" s="90" t="s">
        <v>1128</v>
      </c>
      <c r="C331" s="77" t="s">
        <v>648</v>
      </c>
      <c r="D331" s="78" t="s">
        <v>637</v>
      </c>
      <c r="E331" s="78" t="s">
        <v>1219</v>
      </c>
      <c r="F331" s="77"/>
      <c r="G331" s="79">
        <f>G332</f>
        <v>0</v>
      </c>
      <c r="H331" s="79">
        <f>H332</f>
        <v>945000</v>
      </c>
      <c r="I331" s="79">
        <f t="shared" si="16"/>
        <v>945000</v>
      </c>
      <c r="J331" s="95"/>
    </row>
    <row r="332" spans="2:10" s="64" customFormat="1" ht="24">
      <c r="B332" s="88" t="s">
        <v>767</v>
      </c>
      <c r="C332" s="77" t="s">
        <v>648</v>
      </c>
      <c r="D332" s="78" t="s">
        <v>637</v>
      </c>
      <c r="E332" s="78" t="s">
        <v>1219</v>
      </c>
      <c r="F332" s="77" t="s">
        <v>973</v>
      </c>
      <c r="G332" s="79">
        <v>0</v>
      </c>
      <c r="H332" s="79">
        <f>945000</f>
        <v>945000</v>
      </c>
      <c r="I332" s="79">
        <f t="shared" si="16"/>
        <v>945000</v>
      </c>
      <c r="J332" s="95"/>
    </row>
    <row r="333" spans="2:10" s="64" customFormat="1" ht="24">
      <c r="B333" s="88" t="s">
        <v>1130</v>
      </c>
      <c r="C333" s="77" t="s">
        <v>648</v>
      </c>
      <c r="D333" s="78" t="s">
        <v>637</v>
      </c>
      <c r="E333" s="78" t="s">
        <v>1220</v>
      </c>
      <c r="F333" s="77"/>
      <c r="G333" s="79">
        <f>G334</f>
        <v>0</v>
      </c>
      <c r="H333" s="79">
        <f>H334</f>
        <v>100000</v>
      </c>
      <c r="I333" s="79">
        <f t="shared" si="16"/>
        <v>100000</v>
      </c>
      <c r="J333" s="95"/>
    </row>
    <row r="334" spans="2:10" s="64" customFormat="1" ht="24">
      <c r="B334" s="88" t="s">
        <v>767</v>
      </c>
      <c r="C334" s="77" t="s">
        <v>648</v>
      </c>
      <c r="D334" s="78" t="s">
        <v>637</v>
      </c>
      <c r="E334" s="78" t="s">
        <v>1220</v>
      </c>
      <c r="F334" s="77" t="s">
        <v>973</v>
      </c>
      <c r="G334" s="79">
        <v>0</v>
      </c>
      <c r="H334" s="79">
        <f>76805+23195</f>
        <v>100000</v>
      </c>
      <c r="I334" s="79">
        <f t="shared" si="16"/>
        <v>100000</v>
      </c>
      <c r="J334" s="95"/>
    </row>
    <row r="335" spans="2:10" s="64" customFormat="1" ht="24">
      <c r="B335" s="88" t="s">
        <v>1375</v>
      </c>
      <c r="C335" s="77" t="s">
        <v>648</v>
      </c>
      <c r="D335" s="78" t="s">
        <v>637</v>
      </c>
      <c r="E335" s="78" t="s">
        <v>1383</v>
      </c>
      <c r="F335" s="77"/>
      <c r="G335" s="79">
        <f>G336</f>
        <v>0</v>
      </c>
      <c r="H335" s="79">
        <f>H336</f>
        <v>15704600</v>
      </c>
      <c r="I335" s="79">
        <f t="shared" si="16"/>
        <v>15704600</v>
      </c>
      <c r="J335" s="95"/>
    </row>
    <row r="336" spans="2:10" s="64" customFormat="1" ht="24">
      <c r="B336" s="88" t="s">
        <v>767</v>
      </c>
      <c r="C336" s="77" t="s">
        <v>648</v>
      </c>
      <c r="D336" s="78" t="s">
        <v>637</v>
      </c>
      <c r="E336" s="78" t="s">
        <v>1383</v>
      </c>
      <c r="F336" s="77" t="s">
        <v>973</v>
      </c>
      <c r="G336" s="79">
        <v>0</v>
      </c>
      <c r="H336" s="79">
        <f>12061900+3642700</f>
        <v>15704600</v>
      </c>
      <c r="I336" s="79">
        <f t="shared" si="16"/>
        <v>15704600</v>
      </c>
      <c r="J336" s="95"/>
    </row>
    <row r="337" spans="2:10" ht="72">
      <c r="B337" s="90" t="s">
        <v>1384</v>
      </c>
      <c r="C337" s="77" t="s">
        <v>648</v>
      </c>
      <c r="D337" s="78" t="s">
        <v>637</v>
      </c>
      <c r="E337" s="78" t="s">
        <v>1385</v>
      </c>
      <c r="F337" s="77"/>
      <c r="G337" s="79">
        <f>G338</f>
        <v>0</v>
      </c>
      <c r="H337" s="79">
        <f>H338</f>
        <v>10625959.6</v>
      </c>
      <c r="I337" s="79">
        <f t="shared" si="16"/>
        <v>10625959.6</v>
      </c>
      <c r="J337" s="95"/>
    </row>
    <row r="338" spans="2:10" ht="24">
      <c r="B338" s="88" t="s">
        <v>772</v>
      </c>
      <c r="C338" s="77" t="s">
        <v>648</v>
      </c>
      <c r="D338" s="78" t="s">
        <v>637</v>
      </c>
      <c r="E338" s="78" t="s">
        <v>1385</v>
      </c>
      <c r="F338" s="77" t="s">
        <v>1007</v>
      </c>
      <c r="G338" s="79"/>
      <c r="H338" s="79">
        <f>106259.6+10519700</f>
        <v>10625959.6</v>
      </c>
      <c r="I338" s="79">
        <f t="shared" si="16"/>
        <v>10625959.6</v>
      </c>
      <c r="J338" s="95"/>
    </row>
    <row r="339" spans="2:10" ht="60">
      <c r="B339" s="90" t="s">
        <v>1386</v>
      </c>
      <c r="C339" s="77" t="s">
        <v>648</v>
      </c>
      <c r="D339" s="78" t="s">
        <v>637</v>
      </c>
      <c r="E339" s="78" t="s">
        <v>1387</v>
      </c>
      <c r="F339" s="77"/>
      <c r="G339" s="79">
        <f>G340</f>
        <v>0</v>
      </c>
      <c r="H339" s="79">
        <f>H340</f>
        <v>15821903.24</v>
      </c>
      <c r="I339" s="79">
        <f t="shared" si="16"/>
        <v>15821903.24</v>
      </c>
      <c r="J339" s="95"/>
    </row>
    <row r="340" spans="2:10" ht="24">
      <c r="B340" s="88" t="s">
        <v>772</v>
      </c>
      <c r="C340" s="77" t="s">
        <v>648</v>
      </c>
      <c r="D340" s="78" t="s">
        <v>637</v>
      </c>
      <c r="E340" s="78" t="s">
        <v>1387</v>
      </c>
      <c r="F340" s="77" t="s">
        <v>1007</v>
      </c>
      <c r="G340" s="79"/>
      <c r="H340" s="79">
        <f>15663684.21+158219.03</f>
        <v>15821903.24</v>
      </c>
      <c r="I340" s="79">
        <f t="shared" si="16"/>
        <v>15821903.24</v>
      </c>
      <c r="J340" s="95"/>
    </row>
    <row r="341" spans="2:10" ht="24">
      <c r="B341" s="88" t="s">
        <v>1388</v>
      </c>
      <c r="C341" s="77" t="s">
        <v>648</v>
      </c>
      <c r="D341" s="78" t="s">
        <v>637</v>
      </c>
      <c r="E341" s="78" t="s">
        <v>1389</v>
      </c>
      <c r="F341" s="77"/>
      <c r="G341" s="79">
        <f>G342</f>
        <v>0</v>
      </c>
      <c r="H341" s="79">
        <f>H342</f>
        <v>300000</v>
      </c>
      <c r="I341" s="79">
        <f t="shared" si="16"/>
        <v>300000</v>
      </c>
      <c r="J341" s="95"/>
    </row>
    <row r="342" spans="2:10" ht="24">
      <c r="B342" s="88" t="s">
        <v>767</v>
      </c>
      <c r="C342" s="77" t="s">
        <v>648</v>
      </c>
      <c r="D342" s="78" t="s">
        <v>637</v>
      </c>
      <c r="E342" s="78" t="s">
        <v>1389</v>
      </c>
      <c r="F342" s="77" t="s">
        <v>973</v>
      </c>
      <c r="G342" s="79"/>
      <c r="H342" s="79">
        <v>300000</v>
      </c>
      <c r="I342" s="79">
        <f t="shared" si="16"/>
        <v>300000</v>
      </c>
      <c r="J342" s="95"/>
    </row>
    <row r="343" spans="2:10" s="64" customFormat="1" ht="60">
      <c r="B343" s="90" t="s">
        <v>1351</v>
      </c>
      <c r="C343" s="77" t="s">
        <v>648</v>
      </c>
      <c r="D343" s="77" t="s">
        <v>637</v>
      </c>
      <c r="E343" s="77" t="s">
        <v>1352</v>
      </c>
      <c r="F343" s="77"/>
      <c r="G343" s="79">
        <f>G344</f>
        <v>0</v>
      </c>
      <c r="H343" s="79">
        <f>H344</f>
        <v>88406262.63</v>
      </c>
      <c r="I343" s="79">
        <f>G343+H343</f>
        <v>88406262.63</v>
      </c>
      <c r="J343" s="95"/>
    </row>
    <row r="344" spans="2:10" s="64" customFormat="1" ht="24">
      <c r="B344" s="88" t="s">
        <v>772</v>
      </c>
      <c r="C344" s="77" t="s">
        <v>648</v>
      </c>
      <c r="D344" s="77" t="s">
        <v>637</v>
      </c>
      <c r="E344" s="77" t="s">
        <v>1352</v>
      </c>
      <c r="F344" s="77" t="s">
        <v>1007</v>
      </c>
      <c r="G344" s="79"/>
      <c r="H344" s="79">
        <f>884062.63+87522200</f>
        <v>88406262.63</v>
      </c>
      <c r="I344" s="79">
        <f>G344+H344</f>
        <v>88406262.63</v>
      </c>
      <c r="J344" s="95"/>
    </row>
    <row r="345" spans="2:10" s="64" customFormat="1" ht="36">
      <c r="B345" s="126" t="s">
        <v>1353</v>
      </c>
      <c r="C345" s="77" t="s">
        <v>648</v>
      </c>
      <c r="D345" s="78" t="s">
        <v>637</v>
      </c>
      <c r="E345" s="78" t="s">
        <v>1354</v>
      </c>
      <c r="F345" s="77"/>
      <c r="G345" s="79">
        <f>G346</f>
        <v>0</v>
      </c>
      <c r="H345" s="79">
        <f>H346</f>
        <v>1360091</v>
      </c>
      <c r="I345" s="79">
        <f>G345+H345</f>
        <v>1360091</v>
      </c>
      <c r="J345" s="95"/>
    </row>
    <row r="346" spans="2:10" s="64" customFormat="1" ht="24">
      <c r="B346" s="88" t="s">
        <v>772</v>
      </c>
      <c r="C346" s="77" t="s">
        <v>648</v>
      </c>
      <c r="D346" s="78" t="s">
        <v>637</v>
      </c>
      <c r="E346" s="78" t="s">
        <v>1354</v>
      </c>
      <c r="F346" s="77" t="s">
        <v>1007</v>
      </c>
      <c r="G346" s="79"/>
      <c r="H346" s="79">
        <f>1360091</f>
        <v>1360091</v>
      </c>
      <c r="I346" s="79">
        <f>G346+H346</f>
        <v>1360091</v>
      </c>
      <c r="J346" s="95"/>
    </row>
    <row r="347" spans="2:10" s="133" customFormat="1" ht="12.75">
      <c r="B347" s="127" t="s">
        <v>478</v>
      </c>
      <c r="C347" s="117" t="s">
        <v>648</v>
      </c>
      <c r="D347" s="128" t="s">
        <v>638</v>
      </c>
      <c r="E347" s="128"/>
      <c r="F347" s="117"/>
      <c r="G347" s="129">
        <f>G348+G364+G359</f>
        <v>356987796</v>
      </c>
      <c r="H347" s="129">
        <f>H348+H364+H359</f>
        <v>76718051.87</v>
      </c>
      <c r="I347" s="129">
        <f>G347+H347</f>
        <v>433705847.87</v>
      </c>
      <c r="J347" s="134"/>
    </row>
    <row r="348" spans="2:10" s="64" customFormat="1" ht="12.75">
      <c r="B348" s="88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209234582</v>
      </c>
      <c r="H348" s="79">
        <f>H349+H353+H355+H357+H351</f>
        <v>-209234582</v>
      </c>
      <c r="I348" s="79">
        <f aca="true" t="shared" si="17" ref="I348:I429">G348+H348</f>
        <v>0</v>
      </c>
      <c r="J348" s="95"/>
    </row>
    <row r="349" spans="2:10" s="64" customFormat="1" ht="12.75">
      <c r="B349" s="88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57388479</v>
      </c>
      <c r="H349" s="79">
        <f>H350</f>
        <v>-57388479</v>
      </c>
      <c r="I349" s="79">
        <f t="shared" si="17"/>
        <v>0</v>
      </c>
      <c r="J349" s="95"/>
    </row>
    <row r="350" spans="2:10" ht="24">
      <c r="B350" s="88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57388479</v>
      </c>
      <c r="H350" s="79">
        <v>-57388479</v>
      </c>
      <c r="I350" s="79">
        <f t="shared" si="17"/>
        <v>0</v>
      </c>
      <c r="J350" s="95"/>
    </row>
    <row r="351" spans="2:10" ht="24">
      <c r="B351" s="88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474020</v>
      </c>
      <c r="H351" s="79">
        <f>H352</f>
        <v>-474020</v>
      </c>
      <c r="I351" s="79">
        <f t="shared" si="17"/>
        <v>0</v>
      </c>
      <c r="J351" s="95"/>
    </row>
    <row r="352" spans="2:10" ht="24">
      <c r="B352" s="88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474020</v>
      </c>
      <c r="H352" s="79">
        <v>-474020</v>
      </c>
      <c r="I352" s="79">
        <f t="shared" si="17"/>
        <v>0</v>
      </c>
      <c r="J352" s="95"/>
    </row>
    <row r="353" spans="2:10" ht="96">
      <c r="B353" s="90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147544703</v>
      </c>
      <c r="H353" s="79">
        <f>H354</f>
        <v>-147544703</v>
      </c>
      <c r="I353" s="79">
        <f t="shared" si="17"/>
        <v>0</v>
      </c>
      <c r="J353" s="95"/>
    </row>
    <row r="354" spans="2:10" ht="24">
      <c r="B354" s="88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147544703</v>
      </c>
      <c r="H354" s="79">
        <v>-147544703</v>
      </c>
      <c r="I354" s="79">
        <f t="shared" si="17"/>
        <v>0</v>
      </c>
      <c r="J354" s="95"/>
    </row>
    <row r="355" spans="2:10" ht="24">
      <c r="B355" s="88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1229400</v>
      </c>
      <c r="H355" s="79">
        <f>H356</f>
        <v>-1229400</v>
      </c>
      <c r="I355" s="79">
        <f t="shared" si="17"/>
        <v>0</v>
      </c>
      <c r="J355" s="95"/>
    </row>
    <row r="356" spans="2:10" ht="24">
      <c r="B356" s="88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1229400</v>
      </c>
      <c r="H356" s="79">
        <v>-1229400</v>
      </c>
      <c r="I356" s="79">
        <f t="shared" si="17"/>
        <v>0</v>
      </c>
      <c r="J356" s="95"/>
    </row>
    <row r="357" spans="2:10" ht="24">
      <c r="B357" s="88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2597980</v>
      </c>
      <c r="H357" s="79">
        <f>H358</f>
        <v>-2597980</v>
      </c>
      <c r="I357" s="79">
        <f t="shared" si="17"/>
        <v>0</v>
      </c>
      <c r="J357" s="95"/>
    </row>
    <row r="358" spans="2:10" s="64" customFormat="1" ht="24">
      <c r="B358" s="88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2597980</v>
      </c>
      <c r="H358" s="79">
        <v>-2597980</v>
      </c>
      <c r="I358" s="79">
        <f t="shared" si="17"/>
        <v>0</v>
      </c>
      <c r="J358" s="95"/>
    </row>
    <row r="359" spans="2:10" ht="36">
      <c r="B359" s="88" t="s">
        <v>866</v>
      </c>
      <c r="C359" s="77" t="s">
        <v>648</v>
      </c>
      <c r="D359" s="78" t="s">
        <v>638</v>
      </c>
      <c r="E359" s="78" t="s">
        <v>736</v>
      </c>
      <c r="F359" s="77"/>
      <c r="G359" s="136">
        <f>G360+G362</f>
        <v>147753214</v>
      </c>
      <c r="H359" s="79">
        <f>H360+H362</f>
        <v>-147753214</v>
      </c>
      <c r="I359" s="79">
        <f t="shared" si="17"/>
        <v>0</v>
      </c>
      <c r="J359" s="95"/>
    </row>
    <row r="360" spans="2:10" ht="24">
      <c r="B360" s="88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99356785.39</v>
      </c>
      <c r="H360" s="79">
        <f>H361</f>
        <v>-99356785.39</v>
      </c>
      <c r="I360" s="79">
        <f t="shared" si="17"/>
        <v>0</v>
      </c>
      <c r="J360" s="95"/>
    </row>
    <row r="361" spans="2:10" ht="24">
      <c r="B361" s="88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f>98917263.16+439522.23</f>
        <v>99356785.39</v>
      </c>
      <c r="H361" s="79">
        <v>-99356785.39</v>
      </c>
      <c r="I361" s="79">
        <f t="shared" si="17"/>
        <v>0</v>
      </c>
      <c r="J361" s="95"/>
    </row>
    <row r="362" spans="2:10" ht="24">
      <c r="B362" s="88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48396428.61000001</v>
      </c>
      <c r="H362" s="79">
        <f>H363</f>
        <v>-48396428.61</v>
      </c>
      <c r="I362" s="79">
        <f t="shared" si="17"/>
        <v>0</v>
      </c>
      <c r="J362" s="95"/>
    </row>
    <row r="363" spans="2:10" ht="24">
      <c r="B363" s="88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f>48185836.84+210591.77</f>
        <v>48396428.61000001</v>
      </c>
      <c r="H363" s="79">
        <v>-48396428.61</v>
      </c>
      <c r="I363" s="79">
        <f t="shared" si="17"/>
        <v>0</v>
      </c>
      <c r="J363" s="95"/>
    </row>
    <row r="364" spans="2:10" s="64" customFormat="1" ht="24">
      <c r="B364" s="88" t="s">
        <v>1209</v>
      </c>
      <c r="C364" s="77" t="s">
        <v>648</v>
      </c>
      <c r="D364" s="78" t="s">
        <v>638</v>
      </c>
      <c r="E364" s="78" t="s">
        <v>1210</v>
      </c>
      <c r="F364" s="77"/>
      <c r="G364" s="79">
        <f>G365</f>
        <v>0</v>
      </c>
      <c r="H364" s="79">
        <f>H365</f>
        <v>433705847.87</v>
      </c>
      <c r="I364" s="79">
        <f t="shared" si="17"/>
        <v>433705847.87</v>
      </c>
      <c r="J364" s="95"/>
    </row>
    <row r="365" spans="2:10" ht="12.75">
      <c r="B365" s="88" t="s">
        <v>1221</v>
      </c>
      <c r="C365" s="77" t="s">
        <v>648</v>
      </c>
      <c r="D365" s="78" t="s">
        <v>638</v>
      </c>
      <c r="E365" s="78" t="s">
        <v>1222</v>
      </c>
      <c r="F365" s="77"/>
      <c r="G365" s="79">
        <f>G366+G379+G383+G389+G381+G385+G387</f>
        <v>0</v>
      </c>
      <c r="H365" s="79">
        <f>H366+H379+H383+H389+H381+H385+H387</f>
        <v>433705847.87</v>
      </c>
      <c r="I365" s="79">
        <f t="shared" si="17"/>
        <v>433705847.87</v>
      </c>
      <c r="J365" s="95"/>
    </row>
    <row r="366" spans="2:10" ht="24">
      <c r="B366" s="88" t="s">
        <v>1223</v>
      </c>
      <c r="C366" s="77" t="s">
        <v>648</v>
      </c>
      <c r="D366" s="78" t="s">
        <v>638</v>
      </c>
      <c r="E366" s="78" t="s">
        <v>1224</v>
      </c>
      <c r="F366" s="77"/>
      <c r="G366" s="79">
        <f>G367+G369+G371+G373+G375+G377</f>
        <v>0</v>
      </c>
      <c r="H366" s="79">
        <f>H367+H369+H371+H373+H375+H377</f>
        <v>286336375.61</v>
      </c>
      <c r="I366" s="79">
        <f t="shared" si="17"/>
        <v>286336375.61</v>
      </c>
      <c r="J366" s="95"/>
    </row>
    <row r="367" spans="2:10" ht="24">
      <c r="B367" s="88" t="s">
        <v>1225</v>
      </c>
      <c r="C367" s="77" t="s">
        <v>648</v>
      </c>
      <c r="D367" s="78" t="s">
        <v>638</v>
      </c>
      <c r="E367" s="78" t="s">
        <v>1226</v>
      </c>
      <c r="F367" s="77"/>
      <c r="G367" s="79">
        <f>G368</f>
        <v>0</v>
      </c>
      <c r="H367" s="79">
        <f>H368</f>
        <v>67747440</v>
      </c>
      <c r="I367" s="79">
        <f t="shared" si="17"/>
        <v>67747440</v>
      </c>
      <c r="J367" s="95"/>
    </row>
    <row r="368" spans="2:10" ht="24">
      <c r="B368" s="88" t="s">
        <v>767</v>
      </c>
      <c r="C368" s="77" t="s">
        <v>648</v>
      </c>
      <c r="D368" s="78" t="s">
        <v>638</v>
      </c>
      <c r="E368" s="78" t="s">
        <v>1226</v>
      </c>
      <c r="F368" s="77" t="s">
        <v>973</v>
      </c>
      <c r="G368" s="79"/>
      <c r="H368" s="79">
        <f>21836508+500000+6594651+250000+6224000+6884857+695000+125000+60000+530614+68300+50000+163175+25000+200000+250000+50000+250000+100000+213000+50000+4951075+13845500+1076760+1200000+274000+750000+250000+280000</f>
        <v>67747440</v>
      </c>
      <c r="I368" s="79">
        <f t="shared" si="17"/>
        <v>67747440</v>
      </c>
      <c r="J368" s="95"/>
    </row>
    <row r="369" spans="2:10" ht="24">
      <c r="B369" s="88" t="s">
        <v>1140</v>
      </c>
      <c r="C369" s="77" t="s">
        <v>648</v>
      </c>
      <c r="D369" s="78" t="s">
        <v>638</v>
      </c>
      <c r="E369" s="78" t="s">
        <v>1227</v>
      </c>
      <c r="F369" s="77"/>
      <c r="G369" s="79">
        <f>G370</f>
        <v>0</v>
      </c>
      <c r="H369" s="79">
        <f>H370</f>
        <v>3000000</v>
      </c>
      <c r="I369" s="79">
        <f t="shared" si="17"/>
        <v>3000000</v>
      </c>
      <c r="J369" s="95"/>
    </row>
    <row r="370" spans="2:10" ht="24">
      <c r="B370" s="88" t="s">
        <v>767</v>
      </c>
      <c r="C370" s="77" t="s">
        <v>648</v>
      </c>
      <c r="D370" s="78" t="s">
        <v>638</v>
      </c>
      <c r="E370" s="78" t="s">
        <v>1227</v>
      </c>
      <c r="F370" s="77" t="s">
        <v>973</v>
      </c>
      <c r="G370" s="79"/>
      <c r="H370" s="79">
        <v>3000000</v>
      </c>
      <c r="I370" s="79">
        <f t="shared" si="17"/>
        <v>3000000</v>
      </c>
      <c r="J370" s="95"/>
    </row>
    <row r="371" spans="2:10" s="64" customFormat="1" ht="72">
      <c r="B371" s="90" t="s">
        <v>1217</v>
      </c>
      <c r="C371" s="77" t="s">
        <v>648</v>
      </c>
      <c r="D371" s="78" t="s">
        <v>638</v>
      </c>
      <c r="E371" s="78" t="s">
        <v>1228</v>
      </c>
      <c r="F371" s="77"/>
      <c r="G371" s="79">
        <f>G372</f>
        <v>0</v>
      </c>
      <c r="H371" s="79">
        <f>H372</f>
        <v>173521200</v>
      </c>
      <c r="I371" s="79">
        <f t="shared" si="17"/>
        <v>173521200</v>
      </c>
      <c r="J371" s="95"/>
    </row>
    <row r="372" spans="2:10" s="64" customFormat="1" ht="24">
      <c r="B372" s="88" t="s">
        <v>767</v>
      </c>
      <c r="C372" s="77" t="s">
        <v>648</v>
      </c>
      <c r="D372" s="78" t="s">
        <v>638</v>
      </c>
      <c r="E372" s="78" t="s">
        <v>1228</v>
      </c>
      <c r="F372" s="77" t="s">
        <v>973</v>
      </c>
      <c r="G372" s="79"/>
      <c r="H372" s="79">
        <f>133235100+40286100</f>
        <v>173521200</v>
      </c>
      <c r="I372" s="79">
        <f t="shared" si="17"/>
        <v>173521200</v>
      </c>
      <c r="J372" s="95"/>
    </row>
    <row r="373" spans="2:10" s="64" customFormat="1" ht="24">
      <c r="B373" s="88" t="s">
        <v>1131</v>
      </c>
      <c r="C373" s="77" t="s">
        <v>648</v>
      </c>
      <c r="D373" s="78" t="s">
        <v>638</v>
      </c>
      <c r="E373" s="78" t="s">
        <v>1229</v>
      </c>
      <c r="F373" s="77"/>
      <c r="G373" s="79">
        <f>G374</f>
        <v>0</v>
      </c>
      <c r="H373" s="79">
        <f>H374</f>
        <v>2246060.61</v>
      </c>
      <c r="I373" s="79">
        <f t="shared" si="17"/>
        <v>2246060.61</v>
      </c>
      <c r="J373" s="95"/>
    </row>
    <row r="374" spans="2:10" s="64" customFormat="1" ht="24">
      <c r="B374" s="88" t="s">
        <v>767</v>
      </c>
      <c r="C374" s="77" t="s">
        <v>648</v>
      </c>
      <c r="D374" s="78" t="s">
        <v>638</v>
      </c>
      <c r="E374" s="78" t="s">
        <v>1229</v>
      </c>
      <c r="F374" s="77" t="s">
        <v>973</v>
      </c>
      <c r="G374" s="79"/>
      <c r="H374" s="79">
        <f>22460.61+2223600</f>
        <v>2246060.61</v>
      </c>
      <c r="I374" s="79">
        <f t="shared" si="17"/>
        <v>2246060.61</v>
      </c>
      <c r="J374" s="95"/>
    </row>
    <row r="375" spans="2:10" s="64" customFormat="1" ht="24">
      <c r="B375" s="88" t="s">
        <v>1130</v>
      </c>
      <c r="C375" s="77" t="s">
        <v>648</v>
      </c>
      <c r="D375" s="78" t="s">
        <v>638</v>
      </c>
      <c r="E375" s="78" t="s">
        <v>1230</v>
      </c>
      <c r="F375" s="77"/>
      <c r="G375" s="79">
        <f>G376</f>
        <v>0</v>
      </c>
      <c r="H375" s="79">
        <f>H376</f>
        <v>1303334</v>
      </c>
      <c r="I375" s="79">
        <f t="shared" si="17"/>
        <v>1303334</v>
      </c>
      <c r="J375" s="95"/>
    </row>
    <row r="376" spans="2:10" s="64" customFormat="1" ht="24">
      <c r="B376" s="88" t="s">
        <v>767</v>
      </c>
      <c r="C376" s="77" t="s">
        <v>648</v>
      </c>
      <c r="D376" s="78" t="s">
        <v>638</v>
      </c>
      <c r="E376" s="78" t="s">
        <v>1230</v>
      </c>
      <c r="F376" s="77" t="s">
        <v>973</v>
      </c>
      <c r="G376" s="79"/>
      <c r="H376" s="79">
        <f>10779+3255+990246+299054</f>
        <v>1303334</v>
      </c>
      <c r="I376" s="79">
        <f t="shared" si="17"/>
        <v>1303334</v>
      </c>
      <c r="J376" s="95"/>
    </row>
    <row r="377" spans="2:10" s="64" customFormat="1" ht="24">
      <c r="B377" s="88" t="s">
        <v>1375</v>
      </c>
      <c r="C377" s="77" t="s">
        <v>648</v>
      </c>
      <c r="D377" s="78" t="s">
        <v>638</v>
      </c>
      <c r="E377" s="78" t="s">
        <v>1390</v>
      </c>
      <c r="F377" s="77"/>
      <c r="G377" s="79">
        <f>G378</f>
        <v>0</v>
      </c>
      <c r="H377" s="79">
        <f>H378</f>
        <v>38518341</v>
      </c>
      <c r="I377" s="79">
        <f t="shared" si="17"/>
        <v>38518341</v>
      </c>
      <c r="J377" s="95"/>
    </row>
    <row r="378" spans="2:10" s="64" customFormat="1" ht="24">
      <c r="B378" s="88" t="s">
        <v>767</v>
      </c>
      <c r="C378" s="77" t="s">
        <v>648</v>
      </c>
      <c r="D378" s="78" t="s">
        <v>638</v>
      </c>
      <c r="E378" s="78" t="s">
        <v>1390</v>
      </c>
      <c r="F378" s="77" t="s">
        <v>973</v>
      </c>
      <c r="G378" s="79">
        <v>0</v>
      </c>
      <c r="H378" s="79">
        <f>441275+133266+29142717+8801083</f>
        <v>38518341</v>
      </c>
      <c r="I378" s="79">
        <f t="shared" si="17"/>
        <v>38518341</v>
      </c>
      <c r="J378" s="95"/>
    </row>
    <row r="379" spans="2:10" ht="36">
      <c r="B379" s="88" t="s">
        <v>1355</v>
      </c>
      <c r="C379" s="77" t="s">
        <v>648</v>
      </c>
      <c r="D379" s="78" t="s">
        <v>638</v>
      </c>
      <c r="E379" s="78" t="s">
        <v>1356</v>
      </c>
      <c r="F379" s="77"/>
      <c r="G379" s="136">
        <f>G380</f>
        <v>0</v>
      </c>
      <c r="H379" s="79">
        <f>H380</f>
        <v>35408181.82</v>
      </c>
      <c r="I379" s="79">
        <f t="shared" si="17"/>
        <v>35408181.82</v>
      </c>
      <c r="J379" s="95"/>
    </row>
    <row r="380" spans="2:10" ht="24">
      <c r="B380" s="88" t="s">
        <v>772</v>
      </c>
      <c r="C380" s="77" t="s">
        <v>648</v>
      </c>
      <c r="D380" s="78" t="s">
        <v>638</v>
      </c>
      <c r="E380" s="78" t="s">
        <v>1356</v>
      </c>
      <c r="F380" s="77" t="s">
        <v>1007</v>
      </c>
      <c r="G380" s="79">
        <f>G381</f>
        <v>0</v>
      </c>
      <c r="H380" s="79">
        <f>354081.82+35054100</f>
        <v>35408181.82</v>
      </c>
      <c r="I380" s="79">
        <f t="shared" si="17"/>
        <v>35408181.82</v>
      </c>
      <c r="J380" s="95"/>
    </row>
    <row r="381" spans="2:10" ht="24">
      <c r="B381" s="88" t="s">
        <v>1357</v>
      </c>
      <c r="C381" s="77" t="s">
        <v>648</v>
      </c>
      <c r="D381" s="78" t="s">
        <v>638</v>
      </c>
      <c r="E381" s="78" t="s">
        <v>1358</v>
      </c>
      <c r="F381" s="77"/>
      <c r="G381" s="79">
        <f>G382</f>
        <v>0</v>
      </c>
      <c r="H381" s="79">
        <f>H382</f>
        <v>99356785.39</v>
      </c>
      <c r="I381" s="79">
        <f t="shared" si="17"/>
        <v>99356785.39</v>
      </c>
      <c r="J381" s="95"/>
    </row>
    <row r="382" spans="2:10" ht="24">
      <c r="B382" s="88" t="s">
        <v>772</v>
      </c>
      <c r="C382" s="77" t="s">
        <v>648</v>
      </c>
      <c r="D382" s="78" t="s">
        <v>638</v>
      </c>
      <c r="E382" s="78" t="s">
        <v>1358</v>
      </c>
      <c r="F382" s="77" t="s">
        <v>1007</v>
      </c>
      <c r="G382" s="79"/>
      <c r="H382" s="79">
        <f>98917263.16+439522.23</f>
        <v>99356785.39</v>
      </c>
      <c r="I382" s="79">
        <f t="shared" si="17"/>
        <v>99356785.39</v>
      </c>
      <c r="J382" s="95"/>
    </row>
    <row r="383" spans="2:10" s="64" customFormat="1" ht="36">
      <c r="B383" s="88" t="s">
        <v>1231</v>
      </c>
      <c r="C383" s="77" t="s">
        <v>648</v>
      </c>
      <c r="D383" s="78" t="s">
        <v>638</v>
      </c>
      <c r="E383" s="78" t="s">
        <v>1232</v>
      </c>
      <c r="F383" s="77"/>
      <c r="G383" s="79">
        <f>G384</f>
        <v>0</v>
      </c>
      <c r="H383" s="79">
        <f>H384</f>
        <v>1700000</v>
      </c>
      <c r="I383" s="79">
        <f t="shared" si="17"/>
        <v>1700000</v>
      </c>
      <c r="J383" s="95"/>
    </row>
    <row r="384" spans="2:10" s="64" customFormat="1" ht="24">
      <c r="B384" s="88" t="s">
        <v>767</v>
      </c>
      <c r="C384" s="77" t="s">
        <v>648</v>
      </c>
      <c r="D384" s="78" t="s">
        <v>638</v>
      </c>
      <c r="E384" s="78" t="s">
        <v>1232</v>
      </c>
      <c r="F384" s="77" t="s">
        <v>973</v>
      </c>
      <c r="G384" s="79"/>
      <c r="H384" s="79">
        <v>1700000</v>
      </c>
      <c r="I384" s="79">
        <f t="shared" si="17"/>
        <v>1700000</v>
      </c>
      <c r="J384" s="95"/>
    </row>
    <row r="385" spans="2:10" s="64" customFormat="1" ht="36">
      <c r="B385" s="88" t="s">
        <v>1391</v>
      </c>
      <c r="C385" s="77" t="s">
        <v>648</v>
      </c>
      <c r="D385" s="78" t="s">
        <v>638</v>
      </c>
      <c r="E385" s="78" t="s">
        <v>1392</v>
      </c>
      <c r="F385" s="77"/>
      <c r="G385" s="79">
        <f>G386</f>
        <v>0</v>
      </c>
      <c r="H385" s="79">
        <f>H386</f>
        <v>7070707.07</v>
      </c>
      <c r="I385" s="79">
        <f t="shared" si="17"/>
        <v>7070707.07</v>
      </c>
      <c r="J385" s="95"/>
    </row>
    <row r="386" spans="2:10" s="64" customFormat="1" ht="24">
      <c r="B386" s="88" t="s">
        <v>772</v>
      </c>
      <c r="C386" s="77" t="s">
        <v>648</v>
      </c>
      <c r="D386" s="78" t="s">
        <v>638</v>
      </c>
      <c r="E386" s="78" t="s">
        <v>1392</v>
      </c>
      <c r="F386" s="77" t="s">
        <v>1007</v>
      </c>
      <c r="G386" s="79"/>
      <c r="H386" s="79">
        <f>70707.07+7000000</f>
        <v>7070707.07</v>
      </c>
      <c r="I386" s="79">
        <f t="shared" si="17"/>
        <v>7070707.07</v>
      </c>
      <c r="J386" s="95"/>
    </row>
    <row r="387" spans="2:10" s="64" customFormat="1" ht="36">
      <c r="B387" s="88" t="s">
        <v>1393</v>
      </c>
      <c r="C387" s="77" t="s">
        <v>648</v>
      </c>
      <c r="D387" s="78" t="s">
        <v>638</v>
      </c>
      <c r="E387" s="78" t="s">
        <v>1394</v>
      </c>
      <c r="F387" s="77"/>
      <c r="G387" s="79">
        <f>G388</f>
        <v>0</v>
      </c>
      <c r="H387" s="79">
        <f>H388</f>
        <v>3189797.98</v>
      </c>
      <c r="I387" s="79">
        <f t="shared" si="17"/>
        <v>3189797.98</v>
      </c>
      <c r="J387" s="95"/>
    </row>
    <row r="388" spans="2:10" s="64" customFormat="1" ht="24">
      <c r="B388" s="88" t="s">
        <v>767</v>
      </c>
      <c r="C388" s="77" t="s">
        <v>648</v>
      </c>
      <c r="D388" s="78" t="s">
        <v>638</v>
      </c>
      <c r="E388" s="78" t="s">
        <v>1394</v>
      </c>
      <c r="F388" s="77" t="s">
        <v>973</v>
      </c>
      <c r="G388" s="79"/>
      <c r="H388" s="79">
        <f>31897.98+3157900</f>
        <v>3189797.98</v>
      </c>
      <c r="I388" s="79">
        <f t="shared" si="17"/>
        <v>3189797.98</v>
      </c>
      <c r="J388" s="95"/>
    </row>
    <row r="389" spans="2:10" s="64" customFormat="1" ht="24">
      <c r="B389" s="88" t="s">
        <v>1395</v>
      </c>
      <c r="C389" s="77" t="s">
        <v>648</v>
      </c>
      <c r="D389" s="78" t="s">
        <v>638</v>
      </c>
      <c r="E389" s="78" t="s">
        <v>1396</v>
      </c>
      <c r="F389" s="77"/>
      <c r="G389" s="79">
        <f>G390</f>
        <v>0</v>
      </c>
      <c r="H389" s="79">
        <f>H390</f>
        <v>644000</v>
      </c>
      <c r="I389" s="79">
        <f t="shared" si="17"/>
        <v>644000</v>
      </c>
      <c r="J389" s="95"/>
    </row>
    <row r="390" spans="2:10" s="64" customFormat="1" ht="24">
      <c r="B390" s="88" t="s">
        <v>767</v>
      </c>
      <c r="C390" s="77" t="s">
        <v>648</v>
      </c>
      <c r="D390" s="78" t="s">
        <v>638</v>
      </c>
      <c r="E390" s="78" t="s">
        <v>1396</v>
      </c>
      <c r="F390" s="77" t="s">
        <v>973</v>
      </c>
      <c r="G390" s="79"/>
      <c r="H390" s="79">
        <v>644000</v>
      </c>
      <c r="I390" s="79">
        <f t="shared" si="17"/>
        <v>644000</v>
      </c>
      <c r="J390" s="95"/>
    </row>
    <row r="391" spans="2:10" s="135" customFormat="1" ht="12.75">
      <c r="B391" s="127" t="s">
        <v>1087</v>
      </c>
      <c r="C391" s="117" t="s">
        <v>648</v>
      </c>
      <c r="D391" s="117" t="s">
        <v>639</v>
      </c>
      <c r="E391" s="117"/>
      <c r="F391" s="117"/>
      <c r="G391" s="129">
        <f>G392+G405+G426+G395</f>
        <v>15211260</v>
      </c>
      <c r="H391" s="129">
        <f>H392+H405+H426+H395</f>
        <v>10500449</v>
      </c>
      <c r="I391" s="129">
        <f t="shared" si="17"/>
        <v>25711709</v>
      </c>
      <c r="J391" s="134"/>
    </row>
    <row r="392" spans="2:10" s="64" customFormat="1" ht="24">
      <c r="B392" s="88" t="s">
        <v>850</v>
      </c>
      <c r="C392" s="77" t="s">
        <v>648</v>
      </c>
      <c r="D392" s="77" t="s">
        <v>639</v>
      </c>
      <c r="E392" s="78" t="s">
        <v>758</v>
      </c>
      <c r="F392" s="77"/>
      <c r="G392" s="79">
        <f>G393</f>
        <v>4648590</v>
      </c>
      <c r="H392" s="79">
        <f>H393</f>
        <v>-4648590</v>
      </c>
      <c r="I392" s="79">
        <f t="shared" si="17"/>
        <v>0</v>
      </c>
      <c r="J392" s="95"/>
    </row>
    <row r="393" spans="2:10" s="64" customFormat="1" ht="24">
      <c r="B393" s="88" t="s">
        <v>851</v>
      </c>
      <c r="C393" s="77" t="s">
        <v>648</v>
      </c>
      <c r="D393" s="77" t="s">
        <v>639</v>
      </c>
      <c r="E393" s="78" t="s">
        <v>717</v>
      </c>
      <c r="F393" s="77"/>
      <c r="G393" s="79">
        <f>G394</f>
        <v>4648590</v>
      </c>
      <c r="H393" s="79">
        <f>H394</f>
        <v>-4648590</v>
      </c>
      <c r="I393" s="79">
        <f t="shared" si="17"/>
        <v>0</v>
      </c>
      <c r="J393" s="95"/>
    </row>
    <row r="394" spans="2:10" s="64" customFormat="1" ht="24">
      <c r="B394" s="88" t="s">
        <v>767</v>
      </c>
      <c r="C394" s="77" t="s">
        <v>648</v>
      </c>
      <c r="D394" s="77" t="s">
        <v>639</v>
      </c>
      <c r="E394" s="78" t="s">
        <v>717</v>
      </c>
      <c r="F394" s="77">
        <v>600</v>
      </c>
      <c r="G394" s="79">
        <v>4648590</v>
      </c>
      <c r="H394" s="79">
        <v>-4648590</v>
      </c>
      <c r="I394" s="79">
        <f t="shared" si="17"/>
        <v>0</v>
      </c>
      <c r="J394" s="95"/>
    </row>
    <row r="395" spans="2:10" s="64" customFormat="1" ht="24">
      <c r="B395" s="88" t="s">
        <v>870</v>
      </c>
      <c r="C395" s="77" t="s">
        <v>648</v>
      </c>
      <c r="D395" s="77" t="s">
        <v>639</v>
      </c>
      <c r="E395" s="78" t="s">
        <v>746</v>
      </c>
      <c r="F395" s="77"/>
      <c r="G395" s="79">
        <f>G396+G401+G403</f>
        <v>10562670</v>
      </c>
      <c r="H395" s="79">
        <f>H396+H401+H403</f>
        <v>-10562670</v>
      </c>
      <c r="I395" s="79">
        <f t="shared" si="17"/>
        <v>0</v>
      </c>
      <c r="J395" s="95"/>
    </row>
    <row r="396" spans="2:10" ht="24">
      <c r="B396" s="88" t="s">
        <v>871</v>
      </c>
      <c r="C396" s="77" t="s">
        <v>648</v>
      </c>
      <c r="D396" s="77" t="s">
        <v>639</v>
      </c>
      <c r="E396" s="78" t="s">
        <v>751</v>
      </c>
      <c r="F396" s="77"/>
      <c r="G396" s="79">
        <f>G397+G399</f>
        <v>5208630</v>
      </c>
      <c r="H396" s="79">
        <f>H397+H399</f>
        <v>-5208630</v>
      </c>
      <c r="I396" s="79">
        <f>G396+H396</f>
        <v>0</v>
      </c>
      <c r="J396" s="95"/>
    </row>
    <row r="397" spans="2:10" ht="24">
      <c r="B397" s="88" t="s">
        <v>872</v>
      </c>
      <c r="C397" s="77" t="s">
        <v>648</v>
      </c>
      <c r="D397" s="77" t="s">
        <v>639</v>
      </c>
      <c r="E397" s="78" t="s">
        <v>705</v>
      </c>
      <c r="F397" s="77"/>
      <c r="G397" s="79">
        <f>G398</f>
        <v>3909476</v>
      </c>
      <c r="H397" s="79">
        <f>H398</f>
        <v>-3909476</v>
      </c>
      <c r="I397" s="79">
        <f>G397+H397</f>
        <v>0</v>
      </c>
      <c r="J397" s="95"/>
    </row>
    <row r="398" spans="2:10" ht="24">
      <c r="B398" s="88" t="s">
        <v>767</v>
      </c>
      <c r="C398" s="77" t="s">
        <v>648</v>
      </c>
      <c r="D398" s="77" t="s">
        <v>639</v>
      </c>
      <c r="E398" s="78" t="s">
        <v>705</v>
      </c>
      <c r="F398" s="77">
        <v>600</v>
      </c>
      <c r="G398" s="79">
        <v>3909476</v>
      </c>
      <c r="H398" s="79">
        <v>-3909476</v>
      </c>
      <c r="I398" s="79">
        <f>G398+H398</f>
        <v>0</v>
      </c>
      <c r="J398" s="95"/>
    </row>
    <row r="399" spans="2:10" ht="24">
      <c r="B399" s="88" t="s">
        <v>873</v>
      </c>
      <c r="C399" s="77" t="s">
        <v>648</v>
      </c>
      <c r="D399" s="77" t="s">
        <v>639</v>
      </c>
      <c r="E399" s="78" t="s">
        <v>706</v>
      </c>
      <c r="F399" s="77"/>
      <c r="G399" s="79">
        <f>G400</f>
        <v>1299154</v>
      </c>
      <c r="H399" s="79">
        <f>H400</f>
        <v>-1299154</v>
      </c>
      <c r="I399" s="79">
        <f>G399+H399</f>
        <v>0</v>
      </c>
      <c r="J399" s="95"/>
    </row>
    <row r="400" spans="2:10" ht="24">
      <c r="B400" s="88" t="s">
        <v>767</v>
      </c>
      <c r="C400" s="77" t="s">
        <v>648</v>
      </c>
      <c r="D400" s="77" t="s">
        <v>639</v>
      </c>
      <c r="E400" s="78" t="s">
        <v>706</v>
      </c>
      <c r="F400" s="77">
        <v>600</v>
      </c>
      <c r="G400" s="79">
        <v>1299154</v>
      </c>
      <c r="H400" s="79">
        <v>-1299154</v>
      </c>
      <c r="I400" s="79">
        <f>G400+H400</f>
        <v>0</v>
      </c>
      <c r="J400" s="95"/>
    </row>
    <row r="401" spans="2:10" ht="24">
      <c r="B401" s="88" t="s">
        <v>1085</v>
      </c>
      <c r="C401" s="77" t="s">
        <v>648</v>
      </c>
      <c r="D401" s="77" t="s">
        <v>639</v>
      </c>
      <c r="E401" s="78" t="s">
        <v>721</v>
      </c>
      <c r="F401" s="77"/>
      <c r="G401" s="79">
        <f>G402</f>
        <v>3306860</v>
      </c>
      <c r="H401" s="79">
        <f>H402</f>
        <v>-3306860</v>
      </c>
      <c r="I401" s="79">
        <f t="shared" si="17"/>
        <v>0</v>
      </c>
      <c r="J401" s="95"/>
    </row>
    <row r="402" spans="2:10" ht="24">
      <c r="B402" s="88" t="s">
        <v>767</v>
      </c>
      <c r="C402" s="77" t="s">
        <v>648</v>
      </c>
      <c r="D402" s="77" t="s">
        <v>639</v>
      </c>
      <c r="E402" s="78" t="s">
        <v>721</v>
      </c>
      <c r="F402" s="77" t="s">
        <v>973</v>
      </c>
      <c r="G402" s="79">
        <v>3306860</v>
      </c>
      <c r="H402" s="79">
        <v>-3306860</v>
      </c>
      <c r="I402" s="79">
        <f t="shared" si="17"/>
        <v>0</v>
      </c>
      <c r="J402" s="95"/>
    </row>
    <row r="403" spans="2:10" ht="24">
      <c r="B403" s="88" t="s">
        <v>1086</v>
      </c>
      <c r="C403" s="77" t="s">
        <v>648</v>
      </c>
      <c r="D403" s="77" t="s">
        <v>639</v>
      </c>
      <c r="E403" s="78" t="s">
        <v>693</v>
      </c>
      <c r="F403" s="77"/>
      <c r="G403" s="79">
        <f>G404</f>
        <v>2047180</v>
      </c>
      <c r="H403" s="79">
        <f>H404</f>
        <v>-2047180</v>
      </c>
      <c r="I403" s="79">
        <f t="shared" si="17"/>
        <v>0</v>
      </c>
      <c r="J403" s="95"/>
    </row>
    <row r="404" spans="2:10" ht="24">
      <c r="B404" s="88" t="s">
        <v>767</v>
      </c>
      <c r="C404" s="77" t="s">
        <v>648</v>
      </c>
      <c r="D404" s="77" t="s">
        <v>639</v>
      </c>
      <c r="E404" s="78" t="s">
        <v>693</v>
      </c>
      <c r="F404" s="77" t="s">
        <v>973</v>
      </c>
      <c r="G404" s="79">
        <v>2047180</v>
      </c>
      <c r="H404" s="79">
        <v>-2047180</v>
      </c>
      <c r="I404" s="79">
        <f t="shared" si="17"/>
        <v>0</v>
      </c>
      <c r="J404" s="95"/>
    </row>
    <row r="405" spans="2:10" ht="24">
      <c r="B405" s="88" t="s">
        <v>1209</v>
      </c>
      <c r="C405" s="77" t="s">
        <v>648</v>
      </c>
      <c r="D405" s="77" t="s">
        <v>639</v>
      </c>
      <c r="E405" s="78" t="s">
        <v>1210</v>
      </c>
      <c r="F405" s="77"/>
      <c r="G405" s="79">
        <f>G406</f>
        <v>0</v>
      </c>
      <c r="H405" s="79">
        <f>H406</f>
        <v>18027431</v>
      </c>
      <c r="I405" s="79">
        <f t="shared" si="17"/>
        <v>18027431</v>
      </c>
      <c r="J405" s="95"/>
    </row>
    <row r="406" spans="2:10" s="64" customFormat="1" ht="12.75">
      <c r="B406" s="88" t="s">
        <v>1233</v>
      </c>
      <c r="C406" s="77" t="s">
        <v>648</v>
      </c>
      <c r="D406" s="77" t="s">
        <v>639</v>
      </c>
      <c r="E406" s="78" t="s">
        <v>1234</v>
      </c>
      <c r="F406" s="77"/>
      <c r="G406" s="79">
        <f>G407+G409+G411+G413+G415+G417+G419+G422+G424</f>
        <v>0</v>
      </c>
      <c r="H406" s="79">
        <f>H407+H409+H411+H413+H415+H417+H419+H422+H424</f>
        <v>18027431</v>
      </c>
      <c r="I406" s="79">
        <f t="shared" si="17"/>
        <v>18027431</v>
      </c>
      <c r="J406" s="95"/>
    </row>
    <row r="407" spans="2:10" s="64" customFormat="1" ht="24" hidden="1">
      <c r="B407" s="88" t="s">
        <v>1235</v>
      </c>
      <c r="C407" s="77" t="s">
        <v>648</v>
      </c>
      <c r="D407" s="77" t="s">
        <v>639</v>
      </c>
      <c r="E407" s="78" t="s">
        <v>1236</v>
      </c>
      <c r="F407" s="77"/>
      <c r="G407" s="79">
        <f>G408</f>
        <v>0</v>
      </c>
      <c r="H407" s="79">
        <f>H408</f>
        <v>0</v>
      </c>
      <c r="I407" s="79">
        <f t="shared" si="17"/>
        <v>0</v>
      </c>
      <c r="J407" s="95"/>
    </row>
    <row r="408" spans="2:10" s="64" customFormat="1" ht="24" hidden="1">
      <c r="B408" s="88" t="s">
        <v>767</v>
      </c>
      <c r="C408" s="77" t="s">
        <v>648</v>
      </c>
      <c r="D408" s="77" t="s">
        <v>639</v>
      </c>
      <c r="E408" s="78" t="s">
        <v>1236</v>
      </c>
      <c r="F408" s="77" t="s">
        <v>973</v>
      </c>
      <c r="G408" s="79"/>
      <c r="H408" s="79">
        <v>0</v>
      </c>
      <c r="I408" s="79">
        <f t="shared" si="17"/>
        <v>0</v>
      </c>
      <c r="J408" s="95"/>
    </row>
    <row r="409" spans="2:10" ht="24">
      <c r="B409" s="88" t="s">
        <v>1237</v>
      </c>
      <c r="C409" s="77" t="s">
        <v>648</v>
      </c>
      <c r="D409" s="77" t="s">
        <v>639</v>
      </c>
      <c r="E409" s="78" t="s">
        <v>1238</v>
      </c>
      <c r="F409" s="77"/>
      <c r="G409" s="79">
        <f>G410</f>
        <v>0</v>
      </c>
      <c r="H409" s="79">
        <f>H410</f>
        <v>4825095</v>
      </c>
      <c r="I409" s="79">
        <f t="shared" si="17"/>
        <v>4825095</v>
      </c>
      <c r="J409" s="95"/>
    </row>
    <row r="410" spans="2:10" ht="24">
      <c r="B410" s="88" t="s">
        <v>767</v>
      </c>
      <c r="C410" s="77" t="s">
        <v>648</v>
      </c>
      <c r="D410" s="77" t="s">
        <v>639</v>
      </c>
      <c r="E410" s="78" t="s">
        <v>1238</v>
      </c>
      <c r="F410" s="77" t="s">
        <v>973</v>
      </c>
      <c r="G410" s="79">
        <v>0</v>
      </c>
      <c r="H410" s="79">
        <f>3463200+1045800+31200+27000+254600+1630+1665</f>
        <v>4825095</v>
      </c>
      <c r="I410" s="79">
        <f t="shared" si="17"/>
        <v>4825095</v>
      </c>
      <c r="J410" s="95"/>
    </row>
    <row r="411" spans="2:10" ht="24">
      <c r="B411" s="88" t="s">
        <v>1239</v>
      </c>
      <c r="C411" s="77" t="s">
        <v>648</v>
      </c>
      <c r="D411" s="77" t="s">
        <v>639</v>
      </c>
      <c r="E411" s="78" t="s">
        <v>1240</v>
      </c>
      <c r="F411" s="77"/>
      <c r="G411" s="79">
        <f>G412</f>
        <v>0</v>
      </c>
      <c r="H411" s="79">
        <f>H412</f>
        <v>1774744</v>
      </c>
      <c r="I411" s="79">
        <f t="shared" si="17"/>
        <v>1774744</v>
      </c>
      <c r="J411" s="95"/>
    </row>
    <row r="412" spans="2:10" ht="24">
      <c r="B412" s="88" t="s">
        <v>767</v>
      </c>
      <c r="C412" s="77" t="s">
        <v>648</v>
      </c>
      <c r="D412" s="77" t="s">
        <v>639</v>
      </c>
      <c r="E412" s="78" t="s">
        <v>1240</v>
      </c>
      <c r="F412" s="77" t="s">
        <v>973</v>
      </c>
      <c r="G412" s="79">
        <v>0</v>
      </c>
      <c r="H412" s="79">
        <f>1192400+360100+6000+212600+1532+2112</f>
        <v>1774744</v>
      </c>
      <c r="I412" s="79">
        <f t="shared" si="17"/>
        <v>1774744</v>
      </c>
      <c r="J412" s="95"/>
    </row>
    <row r="413" spans="2:10" s="64" customFormat="1" ht="24">
      <c r="B413" s="88" t="s">
        <v>1375</v>
      </c>
      <c r="C413" s="77" t="s">
        <v>648</v>
      </c>
      <c r="D413" s="77" t="s">
        <v>639</v>
      </c>
      <c r="E413" s="78" t="s">
        <v>1376</v>
      </c>
      <c r="F413" s="77"/>
      <c r="G413" s="79">
        <f>G414</f>
        <v>0</v>
      </c>
      <c r="H413" s="79">
        <f>H414</f>
        <v>499500</v>
      </c>
      <c r="I413" s="79">
        <f t="shared" si="17"/>
        <v>499500</v>
      </c>
      <c r="J413" s="95"/>
    </row>
    <row r="414" spans="2:10" s="64" customFormat="1" ht="24">
      <c r="B414" s="88" t="s">
        <v>767</v>
      </c>
      <c r="C414" s="77" t="s">
        <v>648</v>
      </c>
      <c r="D414" s="77" t="s">
        <v>639</v>
      </c>
      <c r="E414" s="78" t="s">
        <v>1376</v>
      </c>
      <c r="F414" s="77" t="s">
        <v>973</v>
      </c>
      <c r="G414" s="79">
        <v>0</v>
      </c>
      <c r="H414" s="79">
        <f>383600+115900</f>
        <v>499500</v>
      </c>
      <c r="I414" s="79">
        <f t="shared" si="17"/>
        <v>499500</v>
      </c>
      <c r="J414" s="95"/>
    </row>
    <row r="415" spans="2:10" s="64" customFormat="1" ht="24">
      <c r="B415" s="88" t="s">
        <v>1397</v>
      </c>
      <c r="C415" s="77" t="s">
        <v>648</v>
      </c>
      <c r="D415" s="77" t="s">
        <v>639</v>
      </c>
      <c r="E415" s="78" t="s">
        <v>1241</v>
      </c>
      <c r="F415" s="77"/>
      <c r="G415" s="79">
        <f>G416</f>
        <v>0</v>
      </c>
      <c r="H415" s="79">
        <f>H416</f>
        <v>5331660</v>
      </c>
      <c r="I415" s="79">
        <f t="shared" si="17"/>
        <v>5331660</v>
      </c>
      <c r="J415" s="95"/>
    </row>
    <row r="416" spans="2:10" s="64" customFormat="1" ht="24">
      <c r="B416" s="88" t="s">
        <v>767</v>
      </c>
      <c r="C416" s="77" t="s">
        <v>648</v>
      </c>
      <c r="D416" s="77" t="s">
        <v>639</v>
      </c>
      <c r="E416" s="78" t="s">
        <v>1241</v>
      </c>
      <c r="F416" s="77" t="s">
        <v>973</v>
      </c>
      <c r="G416" s="79"/>
      <c r="H416" s="79">
        <f>3881300+1172100+40500+13000+1200+2200+2600+12000+19800+4950+15570+50000+90000+4440+16000+6000</f>
        <v>5331660</v>
      </c>
      <c r="I416" s="79">
        <f t="shared" si="17"/>
        <v>5331660</v>
      </c>
      <c r="J416" s="95"/>
    </row>
    <row r="417" spans="2:10" s="64" customFormat="1" ht="24">
      <c r="B417" s="88" t="s">
        <v>1375</v>
      </c>
      <c r="C417" s="77" t="s">
        <v>648</v>
      </c>
      <c r="D417" s="77" t="s">
        <v>639</v>
      </c>
      <c r="E417" s="78" t="s">
        <v>1398</v>
      </c>
      <c r="F417" s="77"/>
      <c r="G417" s="79">
        <f>G418</f>
        <v>0</v>
      </c>
      <c r="H417" s="79">
        <f>H418</f>
        <v>1213800</v>
      </c>
      <c r="I417" s="79">
        <f t="shared" si="17"/>
        <v>1213800</v>
      </c>
      <c r="J417" s="95"/>
    </row>
    <row r="418" spans="2:10" s="64" customFormat="1" ht="24">
      <c r="B418" s="88" t="s">
        <v>767</v>
      </c>
      <c r="C418" s="77" t="s">
        <v>648</v>
      </c>
      <c r="D418" s="77" t="s">
        <v>639</v>
      </c>
      <c r="E418" s="78" t="s">
        <v>1398</v>
      </c>
      <c r="F418" s="77" t="s">
        <v>973</v>
      </c>
      <c r="G418" s="79"/>
      <c r="H418" s="79">
        <f>308900+93300+623300+188300</f>
        <v>1213800</v>
      </c>
      <c r="I418" s="79">
        <f t="shared" si="17"/>
        <v>1213800</v>
      </c>
      <c r="J418" s="95"/>
    </row>
    <row r="419" spans="2:10" s="64" customFormat="1" ht="24">
      <c r="B419" s="88" t="s">
        <v>1242</v>
      </c>
      <c r="C419" s="77" t="s">
        <v>648</v>
      </c>
      <c r="D419" s="77" t="s">
        <v>639</v>
      </c>
      <c r="E419" s="78" t="s">
        <v>1243</v>
      </c>
      <c r="F419" s="77"/>
      <c r="G419" s="79">
        <f>G420</f>
        <v>0</v>
      </c>
      <c r="H419" s="79">
        <f>H420</f>
        <v>2016232</v>
      </c>
      <c r="I419" s="79">
        <f t="shared" si="17"/>
        <v>2016232</v>
      </c>
      <c r="J419" s="95"/>
    </row>
    <row r="420" spans="2:10" s="64" customFormat="1" ht="24">
      <c r="B420" s="88" t="s">
        <v>1086</v>
      </c>
      <c r="C420" s="77" t="s">
        <v>648</v>
      </c>
      <c r="D420" s="77" t="s">
        <v>639</v>
      </c>
      <c r="E420" s="78" t="s">
        <v>1244</v>
      </c>
      <c r="F420" s="77"/>
      <c r="G420" s="79">
        <f>G421</f>
        <v>0</v>
      </c>
      <c r="H420" s="79">
        <f>H421</f>
        <v>2016232</v>
      </c>
      <c r="I420" s="79">
        <f t="shared" si="17"/>
        <v>2016232</v>
      </c>
      <c r="J420" s="95"/>
    </row>
    <row r="421" spans="2:10" s="64" customFormat="1" ht="24">
      <c r="B421" s="88" t="s">
        <v>767</v>
      </c>
      <c r="C421" s="77" t="s">
        <v>648</v>
      </c>
      <c r="D421" s="77" t="s">
        <v>639</v>
      </c>
      <c r="E421" s="78" t="s">
        <v>1244</v>
      </c>
      <c r="F421" s="77" t="s">
        <v>973</v>
      </c>
      <c r="G421" s="79"/>
      <c r="H421" s="79">
        <f>978000+295300+11400+238392+4720+462500+25920</f>
        <v>2016232</v>
      </c>
      <c r="I421" s="79">
        <f t="shared" si="17"/>
        <v>2016232</v>
      </c>
      <c r="J421" s="95"/>
    </row>
    <row r="422" spans="2:10" s="64" customFormat="1" ht="36">
      <c r="B422" s="88" t="s">
        <v>1245</v>
      </c>
      <c r="C422" s="77" t="s">
        <v>648</v>
      </c>
      <c r="D422" s="77" t="s">
        <v>639</v>
      </c>
      <c r="E422" s="78" t="s">
        <v>1246</v>
      </c>
      <c r="F422" s="77"/>
      <c r="G422" s="79">
        <f>G423</f>
        <v>0</v>
      </c>
      <c r="H422" s="79">
        <f>H423</f>
        <v>2288400</v>
      </c>
      <c r="I422" s="79">
        <f t="shared" si="17"/>
        <v>2288400</v>
      </c>
      <c r="J422" s="95"/>
    </row>
    <row r="423" spans="2:10" s="64" customFormat="1" ht="24">
      <c r="B423" s="88" t="s">
        <v>767</v>
      </c>
      <c r="C423" s="77" t="s">
        <v>648</v>
      </c>
      <c r="D423" s="77" t="s">
        <v>639</v>
      </c>
      <c r="E423" s="78" t="s">
        <v>1246</v>
      </c>
      <c r="F423" s="77" t="s">
        <v>973</v>
      </c>
      <c r="G423" s="79"/>
      <c r="H423" s="79">
        <f>1711500+40000+516900+20000</f>
        <v>2288400</v>
      </c>
      <c r="I423" s="79">
        <f t="shared" si="17"/>
        <v>2288400</v>
      </c>
      <c r="J423" s="95"/>
    </row>
    <row r="424" spans="2:10" s="64" customFormat="1" ht="24">
      <c r="B424" s="88" t="s">
        <v>1399</v>
      </c>
      <c r="C424" s="77" t="s">
        <v>648</v>
      </c>
      <c r="D424" s="77" t="s">
        <v>639</v>
      </c>
      <c r="E424" s="78" t="s">
        <v>1400</v>
      </c>
      <c r="F424" s="77"/>
      <c r="G424" s="79">
        <f>G425</f>
        <v>0</v>
      </c>
      <c r="H424" s="79">
        <f>H425</f>
        <v>78000</v>
      </c>
      <c r="I424" s="79">
        <f t="shared" si="17"/>
        <v>78000</v>
      </c>
      <c r="J424" s="95"/>
    </row>
    <row r="425" spans="2:10" s="64" customFormat="1" ht="24">
      <c r="B425" s="88" t="s">
        <v>767</v>
      </c>
      <c r="C425" s="77" t="s">
        <v>648</v>
      </c>
      <c r="D425" s="77" t="s">
        <v>639</v>
      </c>
      <c r="E425" s="78" t="s">
        <v>1400</v>
      </c>
      <c r="F425" s="77" t="s">
        <v>973</v>
      </c>
      <c r="G425" s="79"/>
      <c r="H425" s="79">
        <v>78000</v>
      </c>
      <c r="I425" s="79">
        <f t="shared" si="17"/>
        <v>78000</v>
      </c>
      <c r="J425" s="95"/>
    </row>
    <row r="426" spans="2:10" s="64" customFormat="1" ht="36">
      <c r="B426" s="88" t="s">
        <v>1247</v>
      </c>
      <c r="C426" s="77" t="s">
        <v>648</v>
      </c>
      <c r="D426" s="77" t="s">
        <v>639</v>
      </c>
      <c r="E426" s="78" t="s">
        <v>1248</v>
      </c>
      <c r="F426" s="77"/>
      <c r="G426" s="79">
        <f>G427</f>
        <v>0</v>
      </c>
      <c r="H426" s="79">
        <f>H427</f>
        <v>7684278</v>
      </c>
      <c r="I426" s="79">
        <f t="shared" si="17"/>
        <v>7684278</v>
      </c>
      <c r="J426" s="95"/>
    </row>
    <row r="427" spans="2:10" s="64" customFormat="1" ht="12.75">
      <c r="B427" s="88" t="s">
        <v>1361</v>
      </c>
      <c r="C427" s="77" t="s">
        <v>648</v>
      </c>
      <c r="D427" s="77" t="s">
        <v>639</v>
      </c>
      <c r="E427" s="78" t="s">
        <v>1362</v>
      </c>
      <c r="F427" s="77"/>
      <c r="G427" s="79">
        <f>G428+G430</f>
        <v>0</v>
      </c>
      <c r="H427" s="79">
        <f>H428+H430</f>
        <v>7684278</v>
      </c>
      <c r="I427" s="79">
        <f t="shared" si="17"/>
        <v>7684278</v>
      </c>
      <c r="J427" s="95"/>
    </row>
    <row r="428" spans="2:10" s="64" customFormat="1" ht="36">
      <c r="B428" s="88" t="s">
        <v>1401</v>
      </c>
      <c r="C428" s="77" t="s">
        <v>648</v>
      </c>
      <c r="D428" s="77" t="s">
        <v>639</v>
      </c>
      <c r="E428" s="78" t="s">
        <v>1402</v>
      </c>
      <c r="F428" s="77"/>
      <c r="G428" s="79">
        <f>G429</f>
        <v>0</v>
      </c>
      <c r="H428" s="79">
        <f>H429</f>
        <v>6166478</v>
      </c>
      <c r="I428" s="79">
        <f t="shared" si="17"/>
        <v>6166478</v>
      </c>
      <c r="J428" s="95"/>
    </row>
    <row r="429" spans="2:10" s="64" customFormat="1" ht="24">
      <c r="B429" s="88" t="s">
        <v>767</v>
      </c>
      <c r="C429" s="77" t="s">
        <v>648</v>
      </c>
      <c r="D429" s="77" t="s">
        <v>639</v>
      </c>
      <c r="E429" s="78" t="s">
        <v>1402</v>
      </c>
      <c r="F429" s="77" t="s">
        <v>973</v>
      </c>
      <c r="G429" s="79"/>
      <c r="H429" s="79">
        <f>4479800+1352800+26000+26700+5200+8100+77038+50000+85000+15840+30000+10000</f>
        <v>6166478</v>
      </c>
      <c r="I429" s="79">
        <f t="shared" si="17"/>
        <v>6166478</v>
      </c>
      <c r="J429" s="95"/>
    </row>
    <row r="430" spans="2:10" s="64" customFormat="1" ht="24">
      <c r="B430" s="88" t="s">
        <v>1375</v>
      </c>
      <c r="C430" s="77" t="s">
        <v>648</v>
      </c>
      <c r="D430" s="77" t="s">
        <v>639</v>
      </c>
      <c r="E430" s="78" t="s">
        <v>1403</v>
      </c>
      <c r="F430" s="77"/>
      <c r="G430" s="79">
        <f>G431</f>
        <v>0</v>
      </c>
      <c r="H430" s="79">
        <f>H431</f>
        <v>1517800</v>
      </c>
      <c r="I430" s="79">
        <f aca="true" t="shared" si="18" ref="I430:I486">G430+H430</f>
        <v>1517800</v>
      </c>
      <c r="J430" s="95"/>
    </row>
    <row r="431" spans="2:10" s="64" customFormat="1" ht="24">
      <c r="B431" s="88" t="s">
        <v>767</v>
      </c>
      <c r="C431" s="77" t="s">
        <v>648</v>
      </c>
      <c r="D431" s="77" t="s">
        <v>639</v>
      </c>
      <c r="E431" s="78" t="s">
        <v>1403</v>
      </c>
      <c r="F431" s="77" t="s">
        <v>973</v>
      </c>
      <c r="G431" s="79"/>
      <c r="H431" s="79">
        <f>1165700+352100</f>
        <v>1517800</v>
      </c>
      <c r="I431" s="79">
        <f t="shared" si="18"/>
        <v>1517800</v>
      </c>
      <c r="J431" s="95"/>
    </row>
    <row r="432" spans="2:10" s="135" customFormat="1" ht="12.75">
      <c r="B432" s="127" t="s">
        <v>551</v>
      </c>
      <c r="C432" s="117" t="s">
        <v>648</v>
      </c>
      <c r="D432" s="128" t="s">
        <v>648</v>
      </c>
      <c r="E432" s="128"/>
      <c r="F432" s="117"/>
      <c r="G432" s="129">
        <f>G433+G442+G443</f>
        <v>1200800</v>
      </c>
      <c r="H432" s="129">
        <f>H433+H442+H443</f>
        <v>2700</v>
      </c>
      <c r="I432" s="129">
        <f t="shared" si="18"/>
        <v>1203500</v>
      </c>
      <c r="J432" s="134"/>
    </row>
    <row r="433" spans="2:10" s="64" customFormat="1" ht="24">
      <c r="B433" s="88" t="s">
        <v>861</v>
      </c>
      <c r="C433" s="77" t="s">
        <v>648</v>
      </c>
      <c r="D433" s="78" t="s">
        <v>648</v>
      </c>
      <c r="E433" s="78" t="s">
        <v>752</v>
      </c>
      <c r="F433" s="77"/>
      <c r="G433" s="79">
        <f>G434</f>
        <v>1200800</v>
      </c>
      <c r="H433" s="79">
        <f>H434</f>
        <v>-1200800</v>
      </c>
      <c r="I433" s="79">
        <f t="shared" si="18"/>
        <v>0</v>
      </c>
      <c r="J433" s="95"/>
    </row>
    <row r="434" spans="2:10" s="64" customFormat="1" ht="24">
      <c r="B434" s="88" t="s">
        <v>864</v>
      </c>
      <c r="C434" s="77" t="s">
        <v>648</v>
      </c>
      <c r="D434" s="78" t="s">
        <v>648</v>
      </c>
      <c r="E434" s="78" t="s">
        <v>1062</v>
      </c>
      <c r="F434" s="77"/>
      <c r="G434" s="79">
        <f>G436+G437+G435</f>
        <v>1200800</v>
      </c>
      <c r="H434" s="79">
        <f>H436+H437+H435</f>
        <v>-1200800</v>
      </c>
      <c r="I434" s="79">
        <f t="shared" si="18"/>
        <v>0</v>
      </c>
      <c r="J434" s="95"/>
    </row>
    <row r="435" spans="2:10" s="64" customFormat="1" ht="24" hidden="1">
      <c r="B435" s="88" t="s">
        <v>766</v>
      </c>
      <c r="C435" s="77" t="s">
        <v>648</v>
      </c>
      <c r="D435" s="78" t="s">
        <v>648</v>
      </c>
      <c r="E435" s="78" t="s">
        <v>1062</v>
      </c>
      <c r="F435" s="77" t="s">
        <v>971</v>
      </c>
      <c r="G435" s="79">
        <v>0</v>
      </c>
      <c r="H435" s="79">
        <v>0</v>
      </c>
      <c r="I435" s="79">
        <f t="shared" si="18"/>
        <v>0</v>
      </c>
      <c r="J435" s="95"/>
    </row>
    <row r="436" spans="2:10" s="64" customFormat="1" ht="12.75">
      <c r="B436" s="88" t="s">
        <v>771</v>
      </c>
      <c r="C436" s="77" t="s">
        <v>648</v>
      </c>
      <c r="D436" s="78" t="s">
        <v>648</v>
      </c>
      <c r="E436" s="78" t="s">
        <v>1062</v>
      </c>
      <c r="F436" s="77">
        <v>300</v>
      </c>
      <c r="G436" s="79">
        <v>666920</v>
      </c>
      <c r="H436" s="79">
        <v>-666920</v>
      </c>
      <c r="I436" s="79">
        <f t="shared" si="18"/>
        <v>0</v>
      </c>
      <c r="J436" s="95"/>
    </row>
    <row r="437" spans="2:9" ht="24">
      <c r="B437" s="88" t="s">
        <v>767</v>
      </c>
      <c r="C437" s="77" t="s">
        <v>648</v>
      </c>
      <c r="D437" s="78" t="s">
        <v>648</v>
      </c>
      <c r="E437" s="78" t="s">
        <v>1062</v>
      </c>
      <c r="F437" s="77">
        <v>600</v>
      </c>
      <c r="G437" s="79">
        <v>533880</v>
      </c>
      <c r="H437" s="79">
        <v>-533880</v>
      </c>
      <c r="I437" s="79">
        <f t="shared" si="18"/>
        <v>0</v>
      </c>
    </row>
    <row r="438" spans="2:9" ht="36">
      <c r="B438" s="88" t="s">
        <v>1247</v>
      </c>
      <c r="C438" s="77" t="s">
        <v>648</v>
      </c>
      <c r="D438" s="78" t="s">
        <v>648</v>
      </c>
      <c r="E438" s="78" t="s">
        <v>1248</v>
      </c>
      <c r="F438" s="77"/>
      <c r="G438" s="79">
        <f aca="true" t="shared" si="19" ref="G438:H440">G439</f>
        <v>0</v>
      </c>
      <c r="H438" s="79">
        <f t="shared" si="19"/>
        <v>1203500</v>
      </c>
      <c r="I438" s="79">
        <f t="shared" si="18"/>
        <v>1203500</v>
      </c>
    </row>
    <row r="439" spans="2:9" ht="12.75">
      <c r="B439" s="88" t="s">
        <v>1249</v>
      </c>
      <c r="C439" s="77" t="s">
        <v>648</v>
      </c>
      <c r="D439" s="78" t="s">
        <v>648</v>
      </c>
      <c r="E439" s="78" t="s">
        <v>1250</v>
      </c>
      <c r="F439" s="77"/>
      <c r="G439" s="79">
        <f t="shared" si="19"/>
        <v>0</v>
      </c>
      <c r="H439" s="79">
        <f t="shared" si="19"/>
        <v>1203500</v>
      </c>
      <c r="I439" s="79">
        <f t="shared" si="18"/>
        <v>1203500</v>
      </c>
    </row>
    <row r="440" spans="2:9" ht="12.75">
      <c r="B440" s="88" t="s">
        <v>1251</v>
      </c>
      <c r="C440" s="77" t="s">
        <v>648</v>
      </c>
      <c r="D440" s="78" t="s">
        <v>648</v>
      </c>
      <c r="E440" s="78" t="s">
        <v>1252</v>
      </c>
      <c r="F440" s="77"/>
      <c r="G440" s="79">
        <f t="shared" si="19"/>
        <v>0</v>
      </c>
      <c r="H440" s="79">
        <f t="shared" si="19"/>
        <v>1203500</v>
      </c>
      <c r="I440" s="79">
        <f t="shared" si="18"/>
        <v>1203500</v>
      </c>
    </row>
    <row r="441" spans="2:9" ht="24">
      <c r="B441" s="88" t="s">
        <v>1253</v>
      </c>
      <c r="C441" s="77" t="s">
        <v>648</v>
      </c>
      <c r="D441" s="78" t="s">
        <v>648</v>
      </c>
      <c r="E441" s="78" t="s">
        <v>1254</v>
      </c>
      <c r="F441" s="77"/>
      <c r="G441" s="79">
        <f>G442+G443</f>
        <v>0</v>
      </c>
      <c r="H441" s="79">
        <f>H442+H443</f>
        <v>1203500</v>
      </c>
      <c r="I441" s="79">
        <f t="shared" si="18"/>
        <v>1203500</v>
      </c>
    </row>
    <row r="442" spans="2:9" ht="22.5">
      <c r="B442" s="88" t="s">
        <v>771</v>
      </c>
      <c r="C442" s="77" t="s">
        <v>648</v>
      </c>
      <c r="D442" s="78" t="s">
        <v>648</v>
      </c>
      <c r="E442" s="78" t="s">
        <v>1254</v>
      </c>
      <c r="F442" s="77" t="s">
        <v>997</v>
      </c>
      <c r="G442" s="79"/>
      <c r="H442" s="79">
        <f>124900+449600</f>
        <v>574500</v>
      </c>
      <c r="I442" s="79">
        <f t="shared" si="18"/>
        <v>574500</v>
      </c>
    </row>
    <row r="443" spans="2:9" ht="24">
      <c r="B443" s="88" t="s">
        <v>767</v>
      </c>
      <c r="C443" s="77" t="s">
        <v>648</v>
      </c>
      <c r="D443" s="78" t="s">
        <v>648</v>
      </c>
      <c r="E443" s="78" t="s">
        <v>1254</v>
      </c>
      <c r="F443" s="77" t="s">
        <v>973</v>
      </c>
      <c r="G443" s="79"/>
      <c r="H443" s="79">
        <f>629000</f>
        <v>629000</v>
      </c>
      <c r="I443" s="79">
        <f t="shared" si="18"/>
        <v>629000</v>
      </c>
    </row>
    <row r="444" spans="2:10" s="133" customFormat="1" ht="12.75">
      <c r="B444" s="127" t="s">
        <v>553</v>
      </c>
      <c r="C444" s="117" t="s">
        <v>648</v>
      </c>
      <c r="D444" s="128" t="s">
        <v>644</v>
      </c>
      <c r="E444" s="128"/>
      <c r="F444" s="117"/>
      <c r="G444" s="129">
        <f>G448+G453+G472+G445+G475</f>
        <v>19320983</v>
      </c>
      <c r="H444" s="129">
        <f>H448+H453+H472+H445+H475</f>
        <v>480747</v>
      </c>
      <c r="I444" s="129">
        <f t="shared" si="18"/>
        <v>19801730</v>
      </c>
      <c r="J444" s="135"/>
    </row>
    <row r="445" spans="2:9" ht="36" hidden="1">
      <c r="B445" s="88" t="s">
        <v>866</v>
      </c>
      <c r="C445" s="77" t="s">
        <v>648</v>
      </c>
      <c r="D445" s="78" t="s">
        <v>644</v>
      </c>
      <c r="E445" s="78" t="s">
        <v>736</v>
      </c>
      <c r="F445" s="77"/>
      <c r="G445" s="79">
        <f>G446</f>
        <v>0</v>
      </c>
      <c r="H445" s="79">
        <f>H446</f>
        <v>0</v>
      </c>
      <c r="I445" s="79">
        <f t="shared" si="18"/>
        <v>0</v>
      </c>
    </row>
    <row r="446" spans="2:9" ht="24" hidden="1">
      <c r="B446" s="88" t="s">
        <v>981</v>
      </c>
      <c r="C446" s="77" t="s">
        <v>648</v>
      </c>
      <c r="D446" s="78" t="s">
        <v>644</v>
      </c>
      <c r="E446" s="78" t="s">
        <v>978</v>
      </c>
      <c r="F446" s="77"/>
      <c r="G446" s="79">
        <f>G447</f>
        <v>0</v>
      </c>
      <c r="H446" s="79">
        <f>H447</f>
        <v>0</v>
      </c>
      <c r="I446" s="79">
        <f t="shared" si="18"/>
        <v>0</v>
      </c>
    </row>
    <row r="447" spans="2:9" ht="24" hidden="1">
      <c r="B447" s="88" t="s">
        <v>766</v>
      </c>
      <c r="C447" s="77" t="s">
        <v>648</v>
      </c>
      <c r="D447" s="78" t="s">
        <v>644</v>
      </c>
      <c r="E447" s="78" t="s">
        <v>978</v>
      </c>
      <c r="F447" s="77">
        <v>200</v>
      </c>
      <c r="G447" s="79">
        <v>0</v>
      </c>
      <c r="H447" s="79"/>
      <c r="I447" s="79">
        <f t="shared" si="18"/>
        <v>0</v>
      </c>
    </row>
    <row r="448" spans="2:9" ht="36" hidden="1">
      <c r="B448" s="88" t="s">
        <v>876</v>
      </c>
      <c r="C448" s="77" t="s">
        <v>648</v>
      </c>
      <c r="D448" s="78" t="s">
        <v>644</v>
      </c>
      <c r="E448" s="78" t="s">
        <v>760</v>
      </c>
      <c r="F448" s="77"/>
      <c r="G448" s="79">
        <f>G449+G451</f>
        <v>0</v>
      </c>
      <c r="H448" s="79">
        <f>H449+H451</f>
        <v>0</v>
      </c>
      <c r="I448" s="79">
        <f t="shared" si="18"/>
        <v>0</v>
      </c>
    </row>
    <row r="449" spans="2:9" ht="12.75" hidden="1">
      <c r="B449" s="88" t="s">
        <v>877</v>
      </c>
      <c r="C449" s="77" t="s">
        <v>648</v>
      </c>
      <c r="D449" s="78" t="s">
        <v>644</v>
      </c>
      <c r="E449" s="78" t="s">
        <v>722</v>
      </c>
      <c r="F449" s="77"/>
      <c r="G449" s="79">
        <f>G450</f>
        <v>0</v>
      </c>
      <c r="H449" s="79">
        <f>H450</f>
        <v>0</v>
      </c>
      <c r="I449" s="79">
        <f t="shared" si="18"/>
        <v>0</v>
      </c>
    </row>
    <row r="450" spans="2:9" ht="24" hidden="1">
      <c r="B450" s="88" t="s">
        <v>766</v>
      </c>
      <c r="C450" s="77" t="s">
        <v>648</v>
      </c>
      <c r="D450" s="78" t="s">
        <v>644</v>
      </c>
      <c r="E450" s="78" t="s">
        <v>722</v>
      </c>
      <c r="F450" s="77">
        <v>200</v>
      </c>
      <c r="G450" s="79">
        <v>0</v>
      </c>
      <c r="H450" s="79"/>
      <c r="I450" s="79">
        <f t="shared" si="18"/>
        <v>0</v>
      </c>
    </row>
    <row r="451" spans="2:9" ht="24" hidden="1">
      <c r="B451" s="88" t="s">
        <v>991</v>
      </c>
      <c r="C451" s="77" t="s">
        <v>648</v>
      </c>
      <c r="D451" s="78" t="s">
        <v>644</v>
      </c>
      <c r="E451" s="78" t="s">
        <v>985</v>
      </c>
      <c r="F451" s="77"/>
      <c r="G451" s="79">
        <f>G452</f>
        <v>0</v>
      </c>
      <c r="H451" s="79">
        <f>H452</f>
        <v>0</v>
      </c>
      <c r="I451" s="79">
        <f t="shared" si="18"/>
        <v>0</v>
      </c>
    </row>
    <row r="452" spans="2:9" ht="24" hidden="1">
      <c r="B452" s="88" t="s">
        <v>766</v>
      </c>
      <c r="C452" s="77" t="s">
        <v>648</v>
      </c>
      <c r="D452" s="78" t="s">
        <v>644</v>
      </c>
      <c r="E452" s="78" t="s">
        <v>985</v>
      </c>
      <c r="F452" s="77" t="s">
        <v>971</v>
      </c>
      <c r="G452" s="79">
        <v>0</v>
      </c>
      <c r="H452" s="79"/>
      <c r="I452" s="79">
        <f t="shared" si="18"/>
        <v>0</v>
      </c>
    </row>
    <row r="453" spans="2:9" ht="24">
      <c r="B453" s="88" t="s">
        <v>878</v>
      </c>
      <c r="C453" s="77" t="s">
        <v>648</v>
      </c>
      <c r="D453" s="78" t="s">
        <v>644</v>
      </c>
      <c r="E453" s="78" t="s">
        <v>776</v>
      </c>
      <c r="F453" s="77"/>
      <c r="G453" s="79">
        <f>G454+G467+G465+G460</f>
        <v>19320983</v>
      </c>
      <c r="H453" s="79">
        <f>H454+H467+H465+H460</f>
        <v>-19320983</v>
      </c>
      <c r="I453" s="79">
        <f t="shared" si="18"/>
        <v>0</v>
      </c>
    </row>
    <row r="454" spans="2:9" ht="22.5">
      <c r="B454" s="88" t="s">
        <v>881</v>
      </c>
      <c r="C454" s="77" t="s">
        <v>648</v>
      </c>
      <c r="D454" s="78" t="s">
        <v>644</v>
      </c>
      <c r="E454" s="78" t="s">
        <v>880</v>
      </c>
      <c r="F454" s="77"/>
      <c r="G454" s="79">
        <f>G455+G457</f>
        <v>8407500</v>
      </c>
      <c r="H454" s="79">
        <f>H455+H457</f>
        <v>-8407500</v>
      </c>
      <c r="I454" s="79">
        <f t="shared" si="18"/>
        <v>0</v>
      </c>
    </row>
    <row r="455" spans="2:9" ht="24">
      <c r="B455" s="88" t="s">
        <v>879</v>
      </c>
      <c r="C455" s="77" t="s">
        <v>648</v>
      </c>
      <c r="D455" s="78" t="s">
        <v>644</v>
      </c>
      <c r="E455" s="78" t="s">
        <v>780</v>
      </c>
      <c r="F455" s="77"/>
      <c r="G455" s="79">
        <f>G456</f>
        <v>1186000</v>
      </c>
      <c r="H455" s="79">
        <f>H456</f>
        <v>-1186000</v>
      </c>
      <c r="I455" s="79">
        <f t="shared" si="18"/>
        <v>0</v>
      </c>
    </row>
    <row r="456" spans="2:9" ht="48">
      <c r="B456" s="88" t="s">
        <v>765</v>
      </c>
      <c r="C456" s="77" t="s">
        <v>648</v>
      </c>
      <c r="D456" s="78" t="s">
        <v>644</v>
      </c>
      <c r="E456" s="78" t="s">
        <v>780</v>
      </c>
      <c r="F456" s="77">
        <v>100</v>
      </c>
      <c r="G456" s="79">
        <v>1186000</v>
      </c>
      <c r="H456" s="79">
        <v>-1186000</v>
      </c>
      <c r="I456" s="79">
        <f t="shared" si="18"/>
        <v>0</v>
      </c>
    </row>
    <row r="457" spans="2:9" ht="22.5">
      <c r="B457" s="88" t="s">
        <v>1107</v>
      </c>
      <c r="C457" s="77" t="s">
        <v>648</v>
      </c>
      <c r="D457" s="78" t="s">
        <v>644</v>
      </c>
      <c r="E457" s="78" t="s">
        <v>779</v>
      </c>
      <c r="F457" s="77"/>
      <c r="G457" s="79">
        <f>G458+G459</f>
        <v>7221500</v>
      </c>
      <c r="H457" s="79">
        <f>H458+H459</f>
        <v>-7221500</v>
      </c>
      <c r="I457" s="79">
        <f t="shared" si="18"/>
        <v>0</v>
      </c>
    </row>
    <row r="458" spans="2:9" ht="48">
      <c r="B458" s="88" t="s">
        <v>765</v>
      </c>
      <c r="C458" s="77" t="s">
        <v>648</v>
      </c>
      <c r="D458" s="78" t="s">
        <v>644</v>
      </c>
      <c r="E458" s="78" t="s">
        <v>779</v>
      </c>
      <c r="F458" s="77">
        <v>100</v>
      </c>
      <c r="G458" s="79">
        <v>7221500</v>
      </c>
      <c r="H458" s="79">
        <v>-7221500</v>
      </c>
      <c r="I458" s="79">
        <f t="shared" si="18"/>
        <v>0</v>
      </c>
    </row>
    <row r="459" spans="2:9" ht="24" hidden="1">
      <c r="B459" s="88" t="s">
        <v>766</v>
      </c>
      <c r="C459" s="77" t="s">
        <v>648</v>
      </c>
      <c r="D459" s="78" t="s">
        <v>644</v>
      </c>
      <c r="E459" s="78" t="s">
        <v>779</v>
      </c>
      <c r="F459" s="77" t="s">
        <v>971</v>
      </c>
      <c r="G459" s="79">
        <v>0</v>
      </c>
      <c r="H459" s="79"/>
      <c r="I459" s="79">
        <f t="shared" si="18"/>
        <v>0</v>
      </c>
    </row>
    <row r="460" spans="2:9" ht="24">
      <c r="B460" s="88" t="s">
        <v>1120</v>
      </c>
      <c r="C460" s="77" t="s">
        <v>648</v>
      </c>
      <c r="D460" s="78" t="s">
        <v>644</v>
      </c>
      <c r="E460" s="78" t="s">
        <v>1109</v>
      </c>
      <c r="F460" s="77"/>
      <c r="G460" s="79">
        <f>G461</f>
        <v>4326480</v>
      </c>
      <c r="H460" s="79">
        <f>H461</f>
        <v>-4326480</v>
      </c>
      <c r="I460" s="79">
        <f t="shared" si="18"/>
        <v>0</v>
      </c>
    </row>
    <row r="461" spans="2:9" ht="36">
      <c r="B461" s="88" t="s">
        <v>1090</v>
      </c>
      <c r="C461" s="77" t="s">
        <v>648</v>
      </c>
      <c r="D461" s="78" t="s">
        <v>644</v>
      </c>
      <c r="E461" s="78" t="s">
        <v>1108</v>
      </c>
      <c r="F461" s="77"/>
      <c r="G461" s="79">
        <f>G462+G463+G464</f>
        <v>4326480</v>
      </c>
      <c r="H461" s="79">
        <f>H462+H463+H464</f>
        <v>-4326480</v>
      </c>
      <c r="I461" s="79">
        <f t="shared" si="18"/>
        <v>0</v>
      </c>
    </row>
    <row r="462" spans="2:9" ht="48">
      <c r="B462" s="88" t="s">
        <v>765</v>
      </c>
      <c r="C462" s="77" t="s">
        <v>648</v>
      </c>
      <c r="D462" s="78" t="s">
        <v>644</v>
      </c>
      <c r="E462" s="78" t="s">
        <v>1108</v>
      </c>
      <c r="F462" s="77" t="s">
        <v>733</v>
      </c>
      <c r="G462" s="79">
        <v>4318480</v>
      </c>
      <c r="H462" s="79">
        <v>-4318480</v>
      </c>
      <c r="I462" s="79">
        <f t="shared" si="18"/>
        <v>0</v>
      </c>
    </row>
    <row r="463" spans="2:9" ht="24" hidden="1">
      <c r="B463" s="88" t="s">
        <v>766</v>
      </c>
      <c r="C463" s="77" t="s">
        <v>648</v>
      </c>
      <c r="D463" s="78" t="s">
        <v>644</v>
      </c>
      <c r="E463" s="78" t="s">
        <v>1108</v>
      </c>
      <c r="F463" s="77" t="s">
        <v>971</v>
      </c>
      <c r="G463" s="79">
        <v>0</v>
      </c>
      <c r="H463" s="79"/>
      <c r="I463" s="79">
        <f t="shared" si="18"/>
        <v>0</v>
      </c>
    </row>
    <row r="464" spans="2:9" ht="12.75">
      <c r="B464" s="88" t="s">
        <v>769</v>
      </c>
      <c r="C464" s="77" t="s">
        <v>648</v>
      </c>
      <c r="D464" s="78" t="s">
        <v>644</v>
      </c>
      <c r="E464" s="78" t="s">
        <v>1108</v>
      </c>
      <c r="F464" s="77" t="s">
        <v>967</v>
      </c>
      <c r="G464" s="79">
        <v>8000</v>
      </c>
      <c r="H464" s="79">
        <v>-8000</v>
      </c>
      <c r="I464" s="79">
        <f t="shared" si="18"/>
        <v>0</v>
      </c>
    </row>
    <row r="465" spans="2:9" ht="36">
      <c r="B465" s="88" t="s">
        <v>1090</v>
      </c>
      <c r="C465" s="77" t="s">
        <v>648</v>
      </c>
      <c r="D465" s="78" t="s">
        <v>644</v>
      </c>
      <c r="E465" s="78" t="s">
        <v>1089</v>
      </c>
      <c r="F465" s="77"/>
      <c r="G465" s="79">
        <f>G466</f>
        <v>6587003</v>
      </c>
      <c r="H465" s="79">
        <f>H466</f>
        <v>-6587003</v>
      </c>
      <c r="I465" s="79">
        <f t="shared" si="18"/>
        <v>0</v>
      </c>
    </row>
    <row r="466" spans="2:9" ht="48">
      <c r="B466" s="88" t="s">
        <v>765</v>
      </c>
      <c r="C466" s="77" t="s">
        <v>648</v>
      </c>
      <c r="D466" s="78" t="s">
        <v>644</v>
      </c>
      <c r="E466" s="78" t="s">
        <v>1089</v>
      </c>
      <c r="F466" s="77" t="s">
        <v>733</v>
      </c>
      <c r="G466" s="79">
        <v>6587003</v>
      </c>
      <c r="H466" s="79">
        <v>-6587003</v>
      </c>
      <c r="I466" s="79">
        <f t="shared" si="18"/>
        <v>0</v>
      </c>
    </row>
    <row r="467" spans="2:9" ht="24" hidden="1">
      <c r="B467" s="88" t="s">
        <v>882</v>
      </c>
      <c r="C467" s="77" t="s">
        <v>648</v>
      </c>
      <c r="D467" s="78" t="s">
        <v>644</v>
      </c>
      <c r="E467" s="78" t="s">
        <v>777</v>
      </c>
      <c r="F467" s="77"/>
      <c r="G467" s="79">
        <f>G468</f>
        <v>0</v>
      </c>
      <c r="H467" s="79">
        <f>H468</f>
        <v>0</v>
      </c>
      <c r="I467" s="79">
        <f t="shared" si="18"/>
        <v>0</v>
      </c>
    </row>
    <row r="468" spans="2:9" ht="24" hidden="1">
      <c r="B468" s="88" t="s">
        <v>883</v>
      </c>
      <c r="C468" s="77" t="s">
        <v>648</v>
      </c>
      <c r="D468" s="78" t="s">
        <v>644</v>
      </c>
      <c r="E468" s="78" t="s">
        <v>778</v>
      </c>
      <c r="F468" s="77"/>
      <c r="G468" s="79">
        <f>G469+G470+G471</f>
        <v>0</v>
      </c>
      <c r="H468" s="79">
        <f>H469+H470+H471</f>
        <v>0</v>
      </c>
      <c r="I468" s="79">
        <f t="shared" si="18"/>
        <v>0</v>
      </c>
    </row>
    <row r="469" spans="2:9" ht="48" hidden="1">
      <c r="B469" s="88" t="s">
        <v>765</v>
      </c>
      <c r="C469" s="77" t="s">
        <v>648</v>
      </c>
      <c r="D469" s="78" t="s">
        <v>644</v>
      </c>
      <c r="E469" s="78" t="s">
        <v>778</v>
      </c>
      <c r="F469" s="77">
        <v>100</v>
      </c>
      <c r="G469" s="79">
        <v>0</v>
      </c>
      <c r="H469" s="79">
        <v>0</v>
      </c>
      <c r="I469" s="79">
        <f t="shared" si="18"/>
        <v>0</v>
      </c>
    </row>
    <row r="470" spans="2:9" ht="24" hidden="1">
      <c r="B470" s="88" t="s">
        <v>766</v>
      </c>
      <c r="C470" s="77" t="s">
        <v>648</v>
      </c>
      <c r="D470" s="78" t="s">
        <v>644</v>
      </c>
      <c r="E470" s="78" t="s">
        <v>778</v>
      </c>
      <c r="F470" s="77">
        <v>200</v>
      </c>
      <c r="G470" s="79">
        <v>0</v>
      </c>
      <c r="H470" s="79">
        <v>0</v>
      </c>
      <c r="I470" s="79">
        <f t="shared" si="18"/>
        <v>0</v>
      </c>
    </row>
    <row r="471" spans="2:9" ht="22.5" hidden="1">
      <c r="B471" s="88" t="s">
        <v>769</v>
      </c>
      <c r="C471" s="77" t="s">
        <v>648</v>
      </c>
      <c r="D471" s="78" t="s">
        <v>644</v>
      </c>
      <c r="E471" s="78" t="s">
        <v>778</v>
      </c>
      <c r="F471" s="77">
        <v>800</v>
      </c>
      <c r="G471" s="79">
        <v>0</v>
      </c>
      <c r="H471" s="79">
        <v>0</v>
      </c>
      <c r="I471" s="79">
        <f t="shared" si="18"/>
        <v>0</v>
      </c>
    </row>
    <row r="472" spans="2:9" ht="24" hidden="1">
      <c r="B472" s="88" t="s">
        <v>989</v>
      </c>
      <c r="C472" s="77" t="s">
        <v>648</v>
      </c>
      <c r="D472" s="78" t="s">
        <v>644</v>
      </c>
      <c r="E472" s="78" t="s">
        <v>988</v>
      </c>
      <c r="F472" s="77"/>
      <c r="G472" s="79">
        <f>G473</f>
        <v>0</v>
      </c>
      <c r="H472" s="79">
        <f>H473</f>
        <v>0</v>
      </c>
      <c r="I472" s="79">
        <f t="shared" si="18"/>
        <v>0</v>
      </c>
    </row>
    <row r="473" spans="2:9" ht="24" hidden="1">
      <c r="B473" s="88" t="s">
        <v>990</v>
      </c>
      <c r="C473" s="77" t="s">
        <v>648</v>
      </c>
      <c r="D473" s="78" t="s">
        <v>644</v>
      </c>
      <c r="E473" s="78" t="s">
        <v>987</v>
      </c>
      <c r="F473" s="77"/>
      <c r="G473" s="79">
        <f>G474</f>
        <v>0</v>
      </c>
      <c r="H473" s="79">
        <f>H474</f>
        <v>0</v>
      </c>
      <c r="I473" s="79">
        <f t="shared" si="18"/>
        <v>0</v>
      </c>
    </row>
    <row r="474" spans="2:9" ht="24" hidden="1">
      <c r="B474" s="88" t="s">
        <v>766</v>
      </c>
      <c r="C474" s="77" t="s">
        <v>648</v>
      </c>
      <c r="D474" s="78" t="s">
        <v>644</v>
      </c>
      <c r="E474" s="78" t="s">
        <v>987</v>
      </c>
      <c r="F474" s="77" t="s">
        <v>971</v>
      </c>
      <c r="G474" s="79"/>
      <c r="H474" s="79"/>
      <c r="I474" s="79">
        <f t="shared" si="18"/>
        <v>0</v>
      </c>
    </row>
    <row r="475" spans="2:9" ht="24">
      <c r="B475" s="88" t="s">
        <v>1209</v>
      </c>
      <c r="C475" s="77" t="s">
        <v>648</v>
      </c>
      <c r="D475" s="78" t="s">
        <v>644</v>
      </c>
      <c r="E475" s="78" t="s">
        <v>1210</v>
      </c>
      <c r="F475" s="77"/>
      <c r="G475" s="79">
        <f>G476</f>
        <v>0</v>
      </c>
      <c r="H475" s="79">
        <f>H476</f>
        <v>19801730</v>
      </c>
      <c r="I475" s="79">
        <f t="shared" si="18"/>
        <v>19801730</v>
      </c>
    </row>
    <row r="476" spans="2:9" ht="36">
      <c r="B476" s="88" t="s">
        <v>1255</v>
      </c>
      <c r="C476" s="77" t="s">
        <v>648</v>
      </c>
      <c r="D476" s="78" t="s">
        <v>644</v>
      </c>
      <c r="E476" s="78" t="s">
        <v>1256</v>
      </c>
      <c r="F476" s="77"/>
      <c r="G476" s="79">
        <f>G477+G482</f>
        <v>0</v>
      </c>
      <c r="H476" s="79">
        <f>H477+H482</f>
        <v>19801730</v>
      </c>
      <c r="I476" s="79">
        <f t="shared" si="18"/>
        <v>19801730</v>
      </c>
    </row>
    <row r="477" spans="2:9" ht="36">
      <c r="B477" s="88" t="s">
        <v>1257</v>
      </c>
      <c r="C477" s="77" t="s">
        <v>648</v>
      </c>
      <c r="D477" s="78" t="s">
        <v>644</v>
      </c>
      <c r="E477" s="78" t="s">
        <v>1258</v>
      </c>
      <c r="F477" s="77"/>
      <c r="G477" s="79">
        <f>G478+G480</f>
        <v>0</v>
      </c>
      <c r="H477" s="79">
        <f>H478+H480</f>
        <v>6283950</v>
      </c>
      <c r="I477" s="79">
        <f t="shared" si="18"/>
        <v>6283950</v>
      </c>
    </row>
    <row r="478" spans="2:9" ht="24">
      <c r="B478" s="88" t="s">
        <v>879</v>
      </c>
      <c r="C478" s="77" t="s">
        <v>648</v>
      </c>
      <c r="D478" s="78" t="s">
        <v>644</v>
      </c>
      <c r="E478" s="78" t="s">
        <v>1404</v>
      </c>
      <c r="F478" s="77"/>
      <c r="G478" s="79">
        <f>G479</f>
        <v>0</v>
      </c>
      <c r="H478" s="79">
        <f>H479</f>
        <v>1154850</v>
      </c>
      <c r="I478" s="79">
        <f t="shared" si="18"/>
        <v>1154850</v>
      </c>
    </row>
    <row r="479" spans="2:9" ht="48">
      <c r="B479" s="88" t="s">
        <v>765</v>
      </c>
      <c r="C479" s="77" t="s">
        <v>648</v>
      </c>
      <c r="D479" s="78" t="s">
        <v>644</v>
      </c>
      <c r="E479" s="78" t="s">
        <v>1404</v>
      </c>
      <c r="F479" s="77" t="s">
        <v>733</v>
      </c>
      <c r="G479" s="79">
        <v>0</v>
      </c>
      <c r="H479" s="79">
        <f>887000+267850</f>
        <v>1154850</v>
      </c>
      <c r="I479" s="79">
        <f t="shared" si="18"/>
        <v>1154850</v>
      </c>
    </row>
    <row r="480" spans="2:9" ht="12.75">
      <c r="B480" s="88" t="s">
        <v>1107</v>
      </c>
      <c r="C480" s="77" t="s">
        <v>648</v>
      </c>
      <c r="D480" s="78" t="s">
        <v>644</v>
      </c>
      <c r="E480" s="78" t="s">
        <v>1405</v>
      </c>
      <c r="F480" s="77"/>
      <c r="G480" s="79">
        <f>G481</f>
        <v>0</v>
      </c>
      <c r="H480" s="79">
        <f>H481</f>
        <v>5129100</v>
      </c>
      <c r="I480" s="79">
        <f t="shared" si="18"/>
        <v>5129100</v>
      </c>
    </row>
    <row r="481" spans="2:9" ht="48">
      <c r="B481" s="88" t="s">
        <v>765</v>
      </c>
      <c r="C481" s="77" t="s">
        <v>648</v>
      </c>
      <c r="D481" s="78" t="s">
        <v>644</v>
      </c>
      <c r="E481" s="78" t="s">
        <v>1405</v>
      </c>
      <c r="F481" s="77" t="s">
        <v>733</v>
      </c>
      <c r="G481" s="79">
        <v>0</v>
      </c>
      <c r="H481" s="79">
        <f>3805000+150000+25000+1149100</f>
        <v>5129100</v>
      </c>
      <c r="I481" s="79">
        <f t="shared" si="18"/>
        <v>5129100</v>
      </c>
    </row>
    <row r="482" spans="2:9" ht="36">
      <c r="B482" s="88" t="s">
        <v>1259</v>
      </c>
      <c r="C482" s="77" t="s">
        <v>648</v>
      </c>
      <c r="D482" s="78" t="s">
        <v>644</v>
      </c>
      <c r="E482" s="78" t="s">
        <v>1260</v>
      </c>
      <c r="F482" s="77"/>
      <c r="G482" s="79">
        <f>G483+G487</f>
        <v>0</v>
      </c>
      <c r="H482" s="79">
        <f>H483+H487</f>
        <v>13517780</v>
      </c>
      <c r="I482" s="79">
        <f t="shared" si="18"/>
        <v>13517780</v>
      </c>
    </row>
    <row r="483" spans="2:9" ht="36">
      <c r="B483" s="88" t="s">
        <v>1261</v>
      </c>
      <c r="C483" s="77" t="s">
        <v>648</v>
      </c>
      <c r="D483" s="78" t="s">
        <v>644</v>
      </c>
      <c r="E483" s="78" t="s">
        <v>1406</v>
      </c>
      <c r="F483" s="77"/>
      <c r="G483" s="79">
        <f>G484+G485+G486</f>
        <v>0</v>
      </c>
      <c r="H483" s="79">
        <f>H484+H485+H486</f>
        <v>8517780</v>
      </c>
      <c r="I483" s="79">
        <f t="shared" si="18"/>
        <v>8517780</v>
      </c>
    </row>
    <row r="484" spans="2:9" ht="48">
      <c r="B484" s="88" t="s">
        <v>765</v>
      </c>
      <c r="C484" s="77" t="s">
        <v>648</v>
      </c>
      <c r="D484" s="78" t="s">
        <v>644</v>
      </c>
      <c r="E484" s="78" t="s">
        <v>1406</v>
      </c>
      <c r="F484" s="77" t="s">
        <v>733</v>
      </c>
      <c r="G484" s="79">
        <v>0</v>
      </c>
      <c r="H484" s="79">
        <f>4960400+1612500</f>
        <v>6572900</v>
      </c>
      <c r="I484" s="79">
        <f t="shared" si="18"/>
        <v>6572900</v>
      </c>
    </row>
    <row r="485" spans="2:9" ht="24">
      <c r="B485" s="88" t="s">
        <v>766</v>
      </c>
      <c r="C485" s="77" t="s">
        <v>648</v>
      </c>
      <c r="D485" s="78" t="s">
        <v>644</v>
      </c>
      <c r="E485" s="78" t="s">
        <v>1406</v>
      </c>
      <c r="F485" s="77" t="s">
        <v>971</v>
      </c>
      <c r="G485" s="79">
        <v>0</v>
      </c>
      <c r="H485" s="79">
        <f>50300+13160+11690+36000+82824+800000+248000+24000+140000+20000+238606+250000+15000+7300</f>
        <v>1936880</v>
      </c>
      <c r="I485" s="79">
        <f t="shared" si="18"/>
        <v>1936880</v>
      </c>
    </row>
    <row r="486" spans="2:9" ht="12.75">
      <c r="B486" s="88" t="s">
        <v>769</v>
      </c>
      <c r="C486" s="77" t="s">
        <v>648</v>
      </c>
      <c r="D486" s="78" t="s">
        <v>644</v>
      </c>
      <c r="E486" s="78" t="s">
        <v>1406</v>
      </c>
      <c r="F486" s="77" t="s">
        <v>967</v>
      </c>
      <c r="G486" s="79">
        <v>0</v>
      </c>
      <c r="H486" s="79">
        <f>7900+100</f>
        <v>8000</v>
      </c>
      <c r="I486" s="79">
        <f t="shared" si="18"/>
        <v>8000</v>
      </c>
    </row>
    <row r="487" spans="2:9" ht="36">
      <c r="B487" s="88" t="s">
        <v>1261</v>
      </c>
      <c r="C487" s="77" t="s">
        <v>648</v>
      </c>
      <c r="D487" s="78" t="s">
        <v>644</v>
      </c>
      <c r="E487" s="78" t="s">
        <v>1407</v>
      </c>
      <c r="F487" s="77"/>
      <c r="G487" s="79">
        <f>G488</f>
        <v>0</v>
      </c>
      <c r="H487" s="79">
        <f>H488</f>
        <v>5000000</v>
      </c>
      <c r="I487" s="79">
        <f aca="true" t="shared" si="20" ref="I487:I518">G487+H487</f>
        <v>5000000</v>
      </c>
    </row>
    <row r="488" spans="2:9" ht="48">
      <c r="B488" s="88" t="s">
        <v>765</v>
      </c>
      <c r="C488" s="77" t="s">
        <v>648</v>
      </c>
      <c r="D488" s="78" t="s">
        <v>644</v>
      </c>
      <c r="E488" s="78" t="s">
        <v>1407</v>
      </c>
      <c r="F488" s="77" t="s">
        <v>733</v>
      </c>
      <c r="G488" s="79">
        <v>0</v>
      </c>
      <c r="H488" s="79">
        <f>3840246+1159754</f>
        <v>5000000</v>
      </c>
      <c r="I488" s="79">
        <f t="shared" si="20"/>
        <v>5000000</v>
      </c>
    </row>
    <row r="489" spans="2:10" s="135" customFormat="1" ht="12.75">
      <c r="B489" s="127" t="s">
        <v>957</v>
      </c>
      <c r="C489" s="117" t="s">
        <v>649</v>
      </c>
      <c r="D489" s="128"/>
      <c r="E489" s="128"/>
      <c r="F489" s="117"/>
      <c r="G489" s="129">
        <f>G490+G514</f>
        <v>33271859</v>
      </c>
      <c r="H489" s="129">
        <f>H490+H514</f>
        <v>29708182.330000006</v>
      </c>
      <c r="I489" s="129">
        <f t="shared" si="20"/>
        <v>62980041.330000006</v>
      </c>
      <c r="J489" s="134"/>
    </row>
    <row r="490" spans="2:10" s="135" customFormat="1" ht="12.75">
      <c r="B490" s="127" t="s">
        <v>523</v>
      </c>
      <c r="C490" s="117" t="s">
        <v>649</v>
      </c>
      <c r="D490" s="128" t="s">
        <v>637</v>
      </c>
      <c r="E490" s="128"/>
      <c r="F490" s="117"/>
      <c r="G490" s="129">
        <f>G491+G494+G497+G500</f>
        <v>28813401</v>
      </c>
      <c r="H490" s="129">
        <f>H491+H494+H497+H500</f>
        <v>27713520.330000006</v>
      </c>
      <c r="I490" s="129">
        <f t="shared" si="20"/>
        <v>56526921.330000006</v>
      </c>
      <c r="J490" s="134"/>
    </row>
    <row r="491" spans="2:10" s="64" customFormat="1" ht="24">
      <c r="B491" s="88" t="s">
        <v>832</v>
      </c>
      <c r="C491" s="77" t="s">
        <v>649</v>
      </c>
      <c r="D491" s="78" t="s">
        <v>637</v>
      </c>
      <c r="E491" s="78" t="s">
        <v>753</v>
      </c>
      <c r="F491" s="77"/>
      <c r="G491" s="79">
        <f>G492</f>
        <v>19808301</v>
      </c>
      <c r="H491" s="79">
        <f>H492</f>
        <v>-19808301</v>
      </c>
      <c r="I491" s="79">
        <f t="shared" si="20"/>
        <v>0</v>
      </c>
      <c r="J491" s="95"/>
    </row>
    <row r="492" spans="2:10" s="64" customFormat="1" ht="24">
      <c r="B492" s="88" t="s">
        <v>833</v>
      </c>
      <c r="C492" s="77" t="s">
        <v>649</v>
      </c>
      <c r="D492" s="78" t="s">
        <v>637</v>
      </c>
      <c r="E492" s="78" t="s">
        <v>708</v>
      </c>
      <c r="F492" s="77"/>
      <c r="G492" s="79">
        <f>G493</f>
        <v>19808301</v>
      </c>
      <c r="H492" s="79">
        <f>H493</f>
        <v>-19808301</v>
      </c>
      <c r="I492" s="79">
        <f t="shared" si="20"/>
        <v>0</v>
      </c>
      <c r="J492" s="95"/>
    </row>
    <row r="493" spans="2:10" s="64" customFormat="1" ht="24">
      <c r="B493" s="88" t="s">
        <v>767</v>
      </c>
      <c r="C493" s="77" t="s">
        <v>649</v>
      </c>
      <c r="D493" s="78" t="s">
        <v>637</v>
      </c>
      <c r="E493" s="78" t="s">
        <v>708</v>
      </c>
      <c r="F493" s="77">
        <v>600</v>
      </c>
      <c r="G493" s="79">
        <v>19808301</v>
      </c>
      <c r="H493" s="79">
        <v>-19808301</v>
      </c>
      <c r="I493" s="79">
        <f t="shared" si="20"/>
        <v>0</v>
      </c>
      <c r="J493" s="95"/>
    </row>
    <row r="494" spans="2:10" s="64" customFormat="1" ht="24">
      <c r="B494" s="88" t="s">
        <v>834</v>
      </c>
      <c r="C494" s="77" t="s">
        <v>649</v>
      </c>
      <c r="D494" s="78" t="s">
        <v>637</v>
      </c>
      <c r="E494" s="78" t="s">
        <v>754</v>
      </c>
      <c r="F494" s="77"/>
      <c r="G494" s="79">
        <f>G495</f>
        <v>520280</v>
      </c>
      <c r="H494" s="79">
        <f>H495</f>
        <v>-520280</v>
      </c>
      <c r="I494" s="79">
        <f t="shared" si="20"/>
        <v>0</v>
      </c>
      <c r="J494" s="95"/>
    </row>
    <row r="495" spans="2:10" s="64" customFormat="1" ht="24">
      <c r="B495" s="88" t="s">
        <v>835</v>
      </c>
      <c r="C495" s="77" t="s">
        <v>649</v>
      </c>
      <c r="D495" s="78" t="s">
        <v>637</v>
      </c>
      <c r="E495" s="78" t="s">
        <v>709</v>
      </c>
      <c r="F495" s="77"/>
      <c r="G495" s="79">
        <f>G496</f>
        <v>520280</v>
      </c>
      <c r="H495" s="79">
        <f>H496</f>
        <v>-520280</v>
      </c>
      <c r="I495" s="79">
        <f t="shared" si="20"/>
        <v>0</v>
      </c>
      <c r="J495" s="95"/>
    </row>
    <row r="496" spans="2:10" s="64" customFormat="1" ht="24">
      <c r="B496" s="88" t="s">
        <v>767</v>
      </c>
      <c r="C496" s="77" t="s">
        <v>649</v>
      </c>
      <c r="D496" s="78" t="s">
        <v>637</v>
      </c>
      <c r="E496" s="78" t="s">
        <v>709</v>
      </c>
      <c r="F496" s="77">
        <v>600</v>
      </c>
      <c r="G496" s="79">
        <v>520280</v>
      </c>
      <c r="H496" s="79">
        <v>-520280</v>
      </c>
      <c r="I496" s="79">
        <f t="shared" si="20"/>
        <v>0</v>
      </c>
      <c r="J496" s="95"/>
    </row>
    <row r="497" spans="2:10" s="64" customFormat="1" ht="24">
      <c r="B497" s="88" t="s">
        <v>836</v>
      </c>
      <c r="C497" s="77" t="s">
        <v>649</v>
      </c>
      <c r="D497" s="78" t="s">
        <v>637</v>
      </c>
      <c r="E497" s="78" t="s">
        <v>755</v>
      </c>
      <c r="F497" s="77"/>
      <c r="G497" s="79">
        <f>G498</f>
        <v>8484820</v>
      </c>
      <c r="H497" s="79">
        <f>H498</f>
        <v>-8484820</v>
      </c>
      <c r="I497" s="79">
        <f t="shared" si="20"/>
        <v>0</v>
      </c>
      <c r="J497" s="95"/>
    </row>
    <row r="498" spans="2:10" s="64" customFormat="1" ht="12.75">
      <c r="B498" s="88" t="s">
        <v>837</v>
      </c>
      <c r="C498" s="77" t="s">
        <v>649</v>
      </c>
      <c r="D498" s="78" t="s">
        <v>637</v>
      </c>
      <c r="E498" s="78" t="s">
        <v>710</v>
      </c>
      <c r="F498" s="77"/>
      <c r="G498" s="79">
        <f>G499</f>
        <v>8484820</v>
      </c>
      <c r="H498" s="79">
        <f>H499</f>
        <v>-8484820</v>
      </c>
      <c r="I498" s="79">
        <f t="shared" si="20"/>
        <v>0</v>
      </c>
      <c r="J498" s="95"/>
    </row>
    <row r="499" spans="2:10" s="64" customFormat="1" ht="24">
      <c r="B499" s="88" t="s">
        <v>767</v>
      </c>
      <c r="C499" s="77" t="s">
        <v>649</v>
      </c>
      <c r="D499" s="78" t="s">
        <v>637</v>
      </c>
      <c r="E499" s="78" t="s">
        <v>710</v>
      </c>
      <c r="F499" s="77">
        <v>600</v>
      </c>
      <c r="G499" s="79">
        <v>8484820</v>
      </c>
      <c r="H499" s="79">
        <v>-8484820</v>
      </c>
      <c r="I499" s="79">
        <f t="shared" si="20"/>
        <v>0</v>
      </c>
      <c r="J499" s="95"/>
    </row>
    <row r="500" spans="2:10" s="64" customFormat="1" ht="24">
      <c r="B500" s="88" t="s">
        <v>1262</v>
      </c>
      <c r="C500" s="77" t="s">
        <v>649</v>
      </c>
      <c r="D500" s="78" t="s">
        <v>637</v>
      </c>
      <c r="E500" s="78" t="s">
        <v>1263</v>
      </c>
      <c r="F500" s="77"/>
      <c r="G500" s="79">
        <f>G501+G508+G511</f>
        <v>0</v>
      </c>
      <c r="H500" s="79">
        <f>H501+H508+H511</f>
        <v>56526921.330000006</v>
      </c>
      <c r="I500" s="79">
        <f t="shared" si="20"/>
        <v>56526921.330000006</v>
      </c>
      <c r="J500" s="95"/>
    </row>
    <row r="501" spans="2:10" s="64" customFormat="1" ht="12.75">
      <c r="B501" s="88" t="s">
        <v>1264</v>
      </c>
      <c r="C501" s="77" t="s">
        <v>649</v>
      </c>
      <c r="D501" s="78" t="s">
        <v>637</v>
      </c>
      <c r="E501" s="78" t="s">
        <v>1265</v>
      </c>
      <c r="F501" s="77"/>
      <c r="G501" s="79">
        <f>G502+G504+G506</f>
        <v>0</v>
      </c>
      <c r="H501" s="79">
        <f>H502+H504+H506</f>
        <v>41027509.330000006</v>
      </c>
      <c r="I501" s="79">
        <f t="shared" si="20"/>
        <v>41027509.330000006</v>
      </c>
      <c r="J501" s="95"/>
    </row>
    <row r="502" spans="2:10" s="64" customFormat="1" ht="24">
      <c r="B502" s="88" t="s">
        <v>1266</v>
      </c>
      <c r="C502" s="77" t="s">
        <v>649</v>
      </c>
      <c r="D502" s="78" t="s">
        <v>637</v>
      </c>
      <c r="E502" s="78" t="s">
        <v>1267</v>
      </c>
      <c r="F502" s="77"/>
      <c r="G502" s="79">
        <f>G503</f>
        <v>0</v>
      </c>
      <c r="H502" s="79">
        <f>H503</f>
        <v>34414277</v>
      </c>
      <c r="I502" s="79">
        <f t="shared" si="20"/>
        <v>34414277</v>
      </c>
      <c r="J502" s="95"/>
    </row>
    <row r="503" spans="2:10" s="64" customFormat="1" ht="24">
      <c r="B503" s="88" t="s">
        <v>767</v>
      </c>
      <c r="C503" s="77" t="s">
        <v>649</v>
      </c>
      <c r="D503" s="78" t="s">
        <v>637</v>
      </c>
      <c r="E503" s="78" t="s">
        <v>1267</v>
      </c>
      <c r="F503" s="77" t="s">
        <v>973</v>
      </c>
      <c r="G503" s="79">
        <v>0</v>
      </c>
      <c r="H503" s="79">
        <f>22569600+6816000+6000+24000+220000+4161407+22000+20000+22000+303270+50000+100000+100000</f>
        <v>34414277</v>
      </c>
      <c r="I503" s="79">
        <f t="shared" si="20"/>
        <v>34414277</v>
      </c>
      <c r="J503" s="95"/>
    </row>
    <row r="504" spans="2:10" s="64" customFormat="1" ht="36">
      <c r="B504" s="88" t="s">
        <v>1377</v>
      </c>
      <c r="C504" s="77" t="s">
        <v>649</v>
      </c>
      <c r="D504" s="78" t="s">
        <v>637</v>
      </c>
      <c r="E504" s="78" t="s">
        <v>1378</v>
      </c>
      <c r="F504" s="77"/>
      <c r="G504" s="79">
        <f>G505</f>
        <v>0</v>
      </c>
      <c r="H504" s="79">
        <f>H505</f>
        <v>1806262.63</v>
      </c>
      <c r="I504" s="79">
        <f t="shared" si="20"/>
        <v>1806262.63</v>
      </c>
      <c r="J504" s="95"/>
    </row>
    <row r="505" spans="2:10" s="64" customFormat="1" ht="24">
      <c r="B505" s="88" t="s">
        <v>767</v>
      </c>
      <c r="C505" s="77" t="s">
        <v>649</v>
      </c>
      <c r="D505" s="78" t="s">
        <v>637</v>
      </c>
      <c r="E505" s="78" t="s">
        <v>1378</v>
      </c>
      <c r="F505" s="77" t="s">
        <v>973</v>
      </c>
      <c r="G505" s="79">
        <v>0</v>
      </c>
      <c r="H505" s="79">
        <f>18062.63+1788200</f>
        <v>1806262.63</v>
      </c>
      <c r="I505" s="79">
        <f t="shared" si="20"/>
        <v>1806262.63</v>
      </c>
      <c r="J505" s="95"/>
    </row>
    <row r="506" spans="2:10" s="64" customFormat="1" ht="36">
      <c r="B506" s="88" t="s">
        <v>1379</v>
      </c>
      <c r="C506" s="77" t="s">
        <v>649</v>
      </c>
      <c r="D506" s="78" t="s">
        <v>637</v>
      </c>
      <c r="E506" s="78" t="s">
        <v>1380</v>
      </c>
      <c r="F506" s="77"/>
      <c r="G506" s="79">
        <f>G507</f>
        <v>0</v>
      </c>
      <c r="H506" s="79">
        <f>H507</f>
        <v>4806969.7</v>
      </c>
      <c r="I506" s="79">
        <f t="shared" si="20"/>
        <v>4806969.7</v>
      </c>
      <c r="J506" s="95"/>
    </row>
    <row r="507" spans="2:10" s="64" customFormat="1" ht="24">
      <c r="B507" s="88" t="s">
        <v>767</v>
      </c>
      <c r="C507" s="77" t="s">
        <v>649</v>
      </c>
      <c r="D507" s="78" t="s">
        <v>637</v>
      </c>
      <c r="E507" s="78" t="s">
        <v>1380</v>
      </c>
      <c r="F507" s="77" t="s">
        <v>973</v>
      </c>
      <c r="G507" s="79">
        <v>0</v>
      </c>
      <c r="H507" s="79">
        <f>48069.7+4758900</f>
        <v>4806969.7</v>
      </c>
      <c r="I507" s="79">
        <f t="shared" si="20"/>
        <v>4806969.7</v>
      </c>
      <c r="J507" s="95"/>
    </row>
    <row r="508" spans="2:10" s="64" customFormat="1" ht="12.75">
      <c r="B508" s="88" t="s">
        <v>1268</v>
      </c>
      <c r="C508" s="77" t="s">
        <v>649</v>
      </c>
      <c r="D508" s="78" t="s">
        <v>637</v>
      </c>
      <c r="E508" s="78" t="s">
        <v>1269</v>
      </c>
      <c r="F508" s="77"/>
      <c r="G508" s="79">
        <f>G509</f>
        <v>0</v>
      </c>
      <c r="H508" s="79">
        <f>H509</f>
        <v>14512512</v>
      </c>
      <c r="I508" s="79">
        <f t="shared" si="20"/>
        <v>14512512</v>
      </c>
      <c r="J508" s="95"/>
    </row>
    <row r="509" spans="2:10" s="64" customFormat="1" ht="24">
      <c r="B509" s="88" t="s">
        <v>1270</v>
      </c>
      <c r="C509" s="77" t="s">
        <v>649</v>
      </c>
      <c r="D509" s="78" t="s">
        <v>637</v>
      </c>
      <c r="E509" s="78" t="s">
        <v>1271</v>
      </c>
      <c r="F509" s="77"/>
      <c r="G509" s="79">
        <f>G510</f>
        <v>0</v>
      </c>
      <c r="H509" s="79">
        <f>H510</f>
        <v>14512512</v>
      </c>
      <c r="I509" s="79">
        <f t="shared" si="20"/>
        <v>14512512</v>
      </c>
      <c r="J509" s="95"/>
    </row>
    <row r="510" spans="2:10" s="64" customFormat="1" ht="24">
      <c r="B510" s="88" t="s">
        <v>767</v>
      </c>
      <c r="C510" s="77" t="s">
        <v>649</v>
      </c>
      <c r="D510" s="78" t="s">
        <v>637</v>
      </c>
      <c r="E510" s="78" t="s">
        <v>1271</v>
      </c>
      <c r="F510" s="77" t="s">
        <v>973</v>
      </c>
      <c r="G510" s="79">
        <v>0</v>
      </c>
      <c r="H510" s="79">
        <f>10410400+3143900+19200+182400+142000+307898+3230+10000+500+10000+100000+5000+15124+64500+48360+50000</f>
        <v>14512512</v>
      </c>
      <c r="I510" s="79">
        <f t="shared" si="20"/>
        <v>14512512</v>
      </c>
      <c r="J510" s="95"/>
    </row>
    <row r="511" spans="2:10" s="64" customFormat="1" ht="24">
      <c r="B511" s="88" t="s">
        <v>1272</v>
      </c>
      <c r="C511" s="77" t="s">
        <v>649</v>
      </c>
      <c r="D511" s="78" t="s">
        <v>637</v>
      </c>
      <c r="E511" s="78" t="s">
        <v>1273</v>
      </c>
      <c r="F511" s="77"/>
      <c r="G511" s="79">
        <f>G512</f>
        <v>0</v>
      </c>
      <c r="H511" s="79">
        <f>H512</f>
        <v>986900</v>
      </c>
      <c r="I511" s="79">
        <f t="shared" si="20"/>
        <v>986900</v>
      </c>
      <c r="J511" s="95"/>
    </row>
    <row r="512" spans="2:10" s="64" customFormat="1" ht="24">
      <c r="B512" s="88" t="s">
        <v>834</v>
      </c>
      <c r="C512" s="77" t="s">
        <v>649</v>
      </c>
      <c r="D512" s="78" t="s">
        <v>637</v>
      </c>
      <c r="E512" s="78" t="s">
        <v>1274</v>
      </c>
      <c r="F512" s="77"/>
      <c r="G512" s="79">
        <f>G513</f>
        <v>0</v>
      </c>
      <c r="H512" s="79">
        <f>H513</f>
        <v>986900</v>
      </c>
      <c r="I512" s="79">
        <f t="shared" si="20"/>
        <v>986900</v>
      </c>
      <c r="J512" s="95"/>
    </row>
    <row r="513" spans="2:10" s="64" customFormat="1" ht="24">
      <c r="B513" s="88" t="s">
        <v>767</v>
      </c>
      <c r="C513" s="77" t="s">
        <v>649</v>
      </c>
      <c r="D513" s="78" t="s">
        <v>637</v>
      </c>
      <c r="E513" s="78" t="s">
        <v>1274</v>
      </c>
      <c r="F513" s="77" t="s">
        <v>973</v>
      </c>
      <c r="G513" s="79">
        <v>0</v>
      </c>
      <c r="H513" s="79">
        <f>758000+228900</f>
        <v>986900</v>
      </c>
      <c r="I513" s="79">
        <f t="shared" si="20"/>
        <v>986900</v>
      </c>
      <c r="J513" s="95"/>
    </row>
    <row r="514" spans="2:10" s="135" customFormat="1" ht="12.75">
      <c r="B514" s="127" t="s">
        <v>394</v>
      </c>
      <c r="C514" s="117" t="s">
        <v>649</v>
      </c>
      <c r="D514" s="128" t="s">
        <v>640</v>
      </c>
      <c r="E514" s="128"/>
      <c r="F514" s="117"/>
      <c r="G514" s="129">
        <f>G515+G524</f>
        <v>4458458</v>
      </c>
      <c r="H514" s="129">
        <f>H515+H524</f>
        <v>1994662</v>
      </c>
      <c r="I514" s="129">
        <f t="shared" si="20"/>
        <v>6453120</v>
      </c>
      <c r="J514" s="134"/>
    </row>
    <row r="515" spans="2:10" s="64" customFormat="1" ht="24">
      <c r="B515" s="88" t="s">
        <v>841</v>
      </c>
      <c r="C515" s="77" t="s">
        <v>649</v>
      </c>
      <c r="D515" s="78" t="s">
        <v>640</v>
      </c>
      <c r="E515" s="78" t="s">
        <v>792</v>
      </c>
      <c r="F515" s="77"/>
      <c r="G515" s="79">
        <f>G516+G520</f>
        <v>4458458</v>
      </c>
      <c r="H515" s="79">
        <f>H516+H520</f>
        <v>-4458458</v>
      </c>
      <c r="I515" s="79">
        <f t="shared" si="20"/>
        <v>0</v>
      </c>
      <c r="J515" s="95"/>
    </row>
    <row r="516" spans="2:10" s="64" customFormat="1" ht="22.5">
      <c r="B516" s="88" t="s">
        <v>842</v>
      </c>
      <c r="C516" s="77" t="s">
        <v>649</v>
      </c>
      <c r="D516" s="78" t="s">
        <v>640</v>
      </c>
      <c r="E516" s="78" t="s">
        <v>793</v>
      </c>
      <c r="F516" s="77"/>
      <c r="G516" s="79">
        <f>G517</f>
        <v>871038</v>
      </c>
      <c r="H516" s="79">
        <f>H517</f>
        <v>-871038</v>
      </c>
      <c r="I516" s="79">
        <f t="shared" si="20"/>
        <v>0</v>
      </c>
      <c r="J516" s="95"/>
    </row>
    <row r="517" spans="2:10" s="64" customFormat="1" ht="22.5">
      <c r="B517" s="88" t="s">
        <v>843</v>
      </c>
      <c r="C517" s="77" t="s">
        <v>649</v>
      </c>
      <c r="D517" s="78" t="s">
        <v>640</v>
      </c>
      <c r="E517" s="78" t="s">
        <v>794</v>
      </c>
      <c r="F517" s="77"/>
      <c r="G517" s="79">
        <f>G518</f>
        <v>871038</v>
      </c>
      <c r="H517" s="79">
        <f>H518</f>
        <v>-871038</v>
      </c>
      <c r="I517" s="79">
        <f t="shared" si="20"/>
        <v>0</v>
      </c>
      <c r="J517" s="95"/>
    </row>
    <row r="518" spans="2:10" s="64" customFormat="1" ht="48">
      <c r="B518" s="88" t="s">
        <v>765</v>
      </c>
      <c r="C518" s="77" t="s">
        <v>649</v>
      </c>
      <c r="D518" s="78" t="s">
        <v>640</v>
      </c>
      <c r="E518" s="78" t="s">
        <v>794</v>
      </c>
      <c r="F518" s="77">
        <v>100</v>
      </c>
      <c r="G518" s="79">
        <v>871038</v>
      </c>
      <c r="H518" s="79">
        <v>-871038</v>
      </c>
      <c r="I518" s="79">
        <f t="shared" si="20"/>
        <v>0</v>
      </c>
      <c r="J518" s="95"/>
    </row>
    <row r="519" spans="2:10" s="64" customFormat="1" ht="36">
      <c r="B519" s="88" t="s">
        <v>1119</v>
      </c>
      <c r="C519" s="77" t="s">
        <v>649</v>
      </c>
      <c r="D519" s="78" t="s">
        <v>640</v>
      </c>
      <c r="E519" s="78" t="s">
        <v>1118</v>
      </c>
      <c r="F519" s="77"/>
      <c r="G519" s="79">
        <f>G520</f>
        <v>3587420</v>
      </c>
      <c r="H519" s="79">
        <f>H520</f>
        <v>-3587420</v>
      </c>
      <c r="I519" s="79">
        <f aca="true" t="shared" si="21" ref="I519:I550">G519+H519</f>
        <v>0</v>
      </c>
      <c r="J519" s="95"/>
    </row>
    <row r="520" spans="2:10" s="64" customFormat="1" ht="36">
      <c r="B520" s="88" t="s">
        <v>1117</v>
      </c>
      <c r="C520" s="77" t="s">
        <v>649</v>
      </c>
      <c r="D520" s="78" t="s">
        <v>640</v>
      </c>
      <c r="E520" s="78" t="s">
        <v>1106</v>
      </c>
      <c r="F520" s="77"/>
      <c r="G520" s="79">
        <f>G521+G522+G523</f>
        <v>3587420</v>
      </c>
      <c r="H520" s="79">
        <f>H521+H522+H523</f>
        <v>-3587420</v>
      </c>
      <c r="I520" s="79">
        <f t="shared" si="21"/>
        <v>0</v>
      </c>
      <c r="J520" s="95"/>
    </row>
    <row r="521" spans="2:10" s="64" customFormat="1" ht="48">
      <c r="B521" s="88" t="s">
        <v>765</v>
      </c>
      <c r="C521" s="77" t="s">
        <v>649</v>
      </c>
      <c r="D521" s="78" t="s">
        <v>640</v>
      </c>
      <c r="E521" s="78" t="s">
        <v>1106</v>
      </c>
      <c r="F521" s="77" t="s">
        <v>733</v>
      </c>
      <c r="G521" s="79">
        <v>3423050</v>
      </c>
      <c r="H521" s="79">
        <v>-3423050</v>
      </c>
      <c r="I521" s="79">
        <f t="shared" si="21"/>
        <v>0</v>
      </c>
      <c r="J521" s="95"/>
    </row>
    <row r="522" spans="2:10" s="64" customFormat="1" ht="24">
      <c r="B522" s="88" t="s">
        <v>766</v>
      </c>
      <c r="C522" s="77" t="s">
        <v>649</v>
      </c>
      <c r="D522" s="78" t="s">
        <v>640</v>
      </c>
      <c r="E522" s="78" t="s">
        <v>1106</v>
      </c>
      <c r="F522" s="77" t="s">
        <v>971</v>
      </c>
      <c r="G522" s="79">
        <v>149170</v>
      </c>
      <c r="H522" s="79">
        <v>-149170</v>
      </c>
      <c r="I522" s="79">
        <f t="shared" si="21"/>
        <v>0</v>
      </c>
      <c r="J522" s="95"/>
    </row>
    <row r="523" spans="2:10" s="64" customFormat="1" ht="12.75">
      <c r="B523" s="88" t="s">
        <v>769</v>
      </c>
      <c r="C523" s="77" t="s">
        <v>649</v>
      </c>
      <c r="D523" s="78" t="s">
        <v>640</v>
      </c>
      <c r="E523" s="78" t="s">
        <v>1106</v>
      </c>
      <c r="F523" s="77" t="s">
        <v>967</v>
      </c>
      <c r="G523" s="79">
        <v>15200</v>
      </c>
      <c r="H523" s="79">
        <v>-15200</v>
      </c>
      <c r="I523" s="79">
        <f t="shared" si="21"/>
        <v>0</v>
      </c>
      <c r="J523" s="95"/>
    </row>
    <row r="524" spans="2:10" s="64" customFormat="1" ht="24">
      <c r="B524" s="88" t="s">
        <v>1262</v>
      </c>
      <c r="C524" s="77" t="s">
        <v>649</v>
      </c>
      <c r="D524" s="78" t="s">
        <v>640</v>
      </c>
      <c r="E524" s="78" t="s">
        <v>1263</v>
      </c>
      <c r="F524" s="77"/>
      <c r="G524" s="79">
        <f>G525</f>
        <v>0</v>
      </c>
      <c r="H524" s="79">
        <f>H525</f>
        <v>6453120</v>
      </c>
      <c r="I524" s="79">
        <f t="shared" si="21"/>
        <v>6453120</v>
      </c>
      <c r="J524" s="95"/>
    </row>
    <row r="525" spans="2:10" s="64" customFormat="1" ht="36">
      <c r="B525" s="88" t="s">
        <v>1275</v>
      </c>
      <c r="C525" s="77" t="s">
        <v>649</v>
      </c>
      <c r="D525" s="78" t="s">
        <v>640</v>
      </c>
      <c r="E525" s="78" t="s">
        <v>1276</v>
      </c>
      <c r="F525" s="77"/>
      <c r="G525" s="79">
        <f>G526+G529</f>
        <v>0</v>
      </c>
      <c r="H525" s="79">
        <f>H526+H529</f>
        <v>6453120</v>
      </c>
      <c r="I525" s="79">
        <f t="shared" si="21"/>
        <v>6453120</v>
      </c>
      <c r="J525" s="95"/>
    </row>
    <row r="526" spans="2:10" ht="36">
      <c r="B526" s="88" t="s">
        <v>1277</v>
      </c>
      <c r="C526" s="77" t="s">
        <v>649</v>
      </c>
      <c r="D526" s="78" t="s">
        <v>640</v>
      </c>
      <c r="E526" s="78" t="s">
        <v>1278</v>
      </c>
      <c r="F526" s="77"/>
      <c r="G526" s="79">
        <f>G527</f>
        <v>0</v>
      </c>
      <c r="H526" s="79">
        <f>H527</f>
        <v>879900</v>
      </c>
      <c r="I526" s="79">
        <f t="shared" si="21"/>
        <v>879900</v>
      </c>
      <c r="J526" s="95"/>
    </row>
    <row r="527" spans="2:10" ht="12.75">
      <c r="B527" s="88" t="s">
        <v>843</v>
      </c>
      <c r="C527" s="77" t="s">
        <v>649</v>
      </c>
      <c r="D527" s="78" t="s">
        <v>640</v>
      </c>
      <c r="E527" s="78" t="s">
        <v>1381</v>
      </c>
      <c r="F527" s="77"/>
      <c r="G527" s="79">
        <f>G528</f>
        <v>0</v>
      </c>
      <c r="H527" s="79">
        <f>H528</f>
        <v>879900</v>
      </c>
      <c r="I527" s="79">
        <f t="shared" si="21"/>
        <v>879900</v>
      </c>
      <c r="J527" s="95"/>
    </row>
    <row r="528" spans="2:10" ht="48">
      <c r="B528" s="88" t="s">
        <v>765</v>
      </c>
      <c r="C528" s="77" t="s">
        <v>649</v>
      </c>
      <c r="D528" s="78" t="s">
        <v>640</v>
      </c>
      <c r="E528" s="78" t="s">
        <v>1381</v>
      </c>
      <c r="F528" s="77" t="s">
        <v>733</v>
      </c>
      <c r="G528" s="79">
        <v>0</v>
      </c>
      <c r="H528" s="79">
        <f>675800+204100</f>
        <v>879900</v>
      </c>
      <c r="I528" s="79">
        <f t="shared" si="21"/>
        <v>879900</v>
      </c>
      <c r="J528" s="95"/>
    </row>
    <row r="529" spans="2:10" ht="24">
      <c r="B529" s="88" t="s">
        <v>1279</v>
      </c>
      <c r="C529" s="77" t="s">
        <v>649</v>
      </c>
      <c r="D529" s="78" t="s">
        <v>640</v>
      </c>
      <c r="E529" s="78" t="s">
        <v>1280</v>
      </c>
      <c r="F529" s="77"/>
      <c r="G529" s="79">
        <f>G530</f>
        <v>0</v>
      </c>
      <c r="H529" s="79">
        <f>H530</f>
        <v>5573220</v>
      </c>
      <c r="I529" s="79">
        <f t="shared" si="21"/>
        <v>5573220</v>
      </c>
      <c r="J529" s="95"/>
    </row>
    <row r="530" spans="2:10" ht="24">
      <c r="B530" s="88" t="s">
        <v>1281</v>
      </c>
      <c r="C530" s="77" t="s">
        <v>649</v>
      </c>
      <c r="D530" s="78" t="s">
        <v>640</v>
      </c>
      <c r="E530" s="78" t="s">
        <v>1382</v>
      </c>
      <c r="F530" s="77"/>
      <c r="G530" s="79">
        <f>G531+G532+G533</f>
        <v>0</v>
      </c>
      <c r="H530" s="79">
        <f>H531+H532+H533</f>
        <v>5573220</v>
      </c>
      <c r="I530" s="79">
        <f t="shared" si="21"/>
        <v>5573220</v>
      </c>
      <c r="J530" s="95"/>
    </row>
    <row r="531" spans="2:10" ht="48">
      <c r="B531" s="88" t="s">
        <v>765</v>
      </c>
      <c r="C531" s="77" t="s">
        <v>649</v>
      </c>
      <c r="D531" s="78" t="s">
        <v>640</v>
      </c>
      <c r="E531" s="78" t="s">
        <v>1382</v>
      </c>
      <c r="F531" s="77" t="s">
        <v>733</v>
      </c>
      <c r="G531" s="79">
        <v>0</v>
      </c>
      <c r="H531" s="79">
        <f>4114000+1242400</f>
        <v>5356400</v>
      </c>
      <c r="I531" s="79">
        <f t="shared" si="21"/>
        <v>5356400</v>
      </c>
      <c r="J531" s="95"/>
    </row>
    <row r="532" spans="2:10" ht="24">
      <c r="B532" s="88" t="s">
        <v>766</v>
      </c>
      <c r="C532" s="77" t="s">
        <v>649</v>
      </c>
      <c r="D532" s="78" t="s">
        <v>640</v>
      </c>
      <c r="E532" s="78" t="s">
        <v>1382</v>
      </c>
      <c r="F532" s="77" t="s">
        <v>971</v>
      </c>
      <c r="G532" s="79">
        <v>0</v>
      </c>
      <c r="H532" s="79">
        <f>87000+43000+1000+9970+51500+7320</f>
        <v>199790</v>
      </c>
      <c r="I532" s="79">
        <f t="shared" si="21"/>
        <v>199790</v>
      </c>
      <c r="J532" s="95"/>
    </row>
    <row r="533" spans="2:10" ht="24">
      <c r="B533" s="88" t="s">
        <v>766</v>
      </c>
      <c r="C533" s="77" t="s">
        <v>649</v>
      </c>
      <c r="D533" s="78" t="s">
        <v>640</v>
      </c>
      <c r="E533" s="78" t="s">
        <v>1382</v>
      </c>
      <c r="F533" s="77" t="s">
        <v>967</v>
      </c>
      <c r="G533" s="79">
        <v>0</v>
      </c>
      <c r="H533" s="79">
        <f>17030</f>
        <v>17030</v>
      </c>
      <c r="I533" s="79">
        <f t="shared" si="21"/>
        <v>17030</v>
      </c>
      <c r="J533" s="95"/>
    </row>
    <row r="534" spans="2:10" s="135" customFormat="1" ht="12.75">
      <c r="B534" s="127" t="s">
        <v>958</v>
      </c>
      <c r="C534" s="117" t="s">
        <v>628</v>
      </c>
      <c r="D534" s="128"/>
      <c r="E534" s="128"/>
      <c r="F534" s="117"/>
      <c r="G534" s="129">
        <f>G535+G541+G561</f>
        <v>13967030</v>
      </c>
      <c r="H534" s="129">
        <f>H535+H541+H561</f>
        <v>1940464.4100000001</v>
      </c>
      <c r="I534" s="129">
        <f t="shared" si="21"/>
        <v>15907494.41</v>
      </c>
      <c r="J534" s="134"/>
    </row>
    <row r="535" spans="2:10" s="135" customFormat="1" ht="12.75">
      <c r="B535" s="127" t="s">
        <v>11</v>
      </c>
      <c r="C535" s="117" t="s">
        <v>628</v>
      </c>
      <c r="D535" s="128" t="s">
        <v>637</v>
      </c>
      <c r="E535" s="128"/>
      <c r="F535" s="117"/>
      <c r="G535" s="129">
        <f>G536</f>
        <v>0</v>
      </c>
      <c r="H535" s="129">
        <f>H536</f>
        <v>945154</v>
      </c>
      <c r="I535" s="129">
        <f t="shared" si="21"/>
        <v>945154</v>
      </c>
      <c r="J535" s="134"/>
    </row>
    <row r="536" spans="2:10" ht="36">
      <c r="B536" s="88" t="s">
        <v>1183</v>
      </c>
      <c r="C536" s="77" t="s">
        <v>628</v>
      </c>
      <c r="D536" s="78" t="s">
        <v>637</v>
      </c>
      <c r="E536" s="78" t="s">
        <v>1184</v>
      </c>
      <c r="F536" s="77"/>
      <c r="G536" s="79">
        <f aca="true" t="shared" si="22" ref="G536:H539">G537</f>
        <v>0</v>
      </c>
      <c r="H536" s="79">
        <f t="shared" si="22"/>
        <v>945154</v>
      </c>
      <c r="I536" s="79">
        <f t="shared" si="21"/>
        <v>945154</v>
      </c>
      <c r="J536" s="95"/>
    </row>
    <row r="537" spans="2:10" ht="24">
      <c r="B537" s="88" t="s">
        <v>1282</v>
      </c>
      <c r="C537" s="77" t="s">
        <v>628</v>
      </c>
      <c r="D537" s="78" t="s">
        <v>637</v>
      </c>
      <c r="E537" s="78" t="s">
        <v>1283</v>
      </c>
      <c r="F537" s="77"/>
      <c r="G537" s="79">
        <f t="shared" si="22"/>
        <v>0</v>
      </c>
      <c r="H537" s="79">
        <f t="shared" si="22"/>
        <v>945154</v>
      </c>
      <c r="I537" s="79">
        <f t="shared" si="21"/>
        <v>945154</v>
      </c>
      <c r="J537" s="95"/>
    </row>
    <row r="538" spans="2:10" ht="24">
      <c r="B538" s="88" t="s">
        <v>1284</v>
      </c>
      <c r="C538" s="77" t="s">
        <v>628</v>
      </c>
      <c r="D538" s="78" t="s">
        <v>637</v>
      </c>
      <c r="E538" s="78" t="s">
        <v>1285</v>
      </c>
      <c r="F538" s="77"/>
      <c r="G538" s="79">
        <f t="shared" si="22"/>
        <v>0</v>
      </c>
      <c r="H538" s="79">
        <f t="shared" si="22"/>
        <v>945154</v>
      </c>
      <c r="I538" s="79">
        <f t="shared" si="21"/>
        <v>945154</v>
      </c>
      <c r="J538" s="95"/>
    </row>
    <row r="539" spans="2:10" ht="12.75">
      <c r="B539" s="88" t="s">
        <v>1286</v>
      </c>
      <c r="C539" s="77" t="s">
        <v>628</v>
      </c>
      <c r="D539" s="78" t="s">
        <v>637</v>
      </c>
      <c r="E539" s="78" t="s">
        <v>1287</v>
      </c>
      <c r="F539" s="77"/>
      <c r="G539" s="79">
        <f t="shared" si="22"/>
        <v>0</v>
      </c>
      <c r="H539" s="79">
        <f t="shared" si="22"/>
        <v>945154</v>
      </c>
      <c r="I539" s="79">
        <f t="shared" si="21"/>
        <v>945154</v>
      </c>
      <c r="J539" s="95"/>
    </row>
    <row r="540" spans="2:10" ht="12.75">
      <c r="B540" s="88" t="s">
        <v>771</v>
      </c>
      <c r="C540" s="77" t="s">
        <v>628</v>
      </c>
      <c r="D540" s="78" t="s">
        <v>637</v>
      </c>
      <c r="E540" s="78" t="s">
        <v>1287</v>
      </c>
      <c r="F540" s="77" t="s">
        <v>997</v>
      </c>
      <c r="G540" s="79">
        <v>0</v>
      </c>
      <c r="H540" s="79">
        <f>200388+744766</f>
        <v>945154</v>
      </c>
      <c r="I540" s="79">
        <f t="shared" si="21"/>
        <v>945154</v>
      </c>
      <c r="J540" s="95"/>
    </row>
    <row r="541" spans="2:10" s="135" customFormat="1" ht="12.75">
      <c r="B541" s="127" t="s">
        <v>490</v>
      </c>
      <c r="C541" s="117" t="s">
        <v>628</v>
      </c>
      <c r="D541" s="128" t="s">
        <v>639</v>
      </c>
      <c r="E541" s="128"/>
      <c r="F541" s="117"/>
      <c r="G541" s="129">
        <f>G553+G542</f>
        <v>7398030</v>
      </c>
      <c r="H541" s="129">
        <f>H553+H542</f>
        <v>3742110.41</v>
      </c>
      <c r="I541" s="129">
        <f t="shared" si="21"/>
        <v>11140140.41</v>
      </c>
      <c r="J541" s="134"/>
    </row>
    <row r="542" spans="2:10" s="64" customFormat="1" ht="36">
      <c r="B542" s="88" t="s">
        <v>1204</v>
      </c>
      <c r="C542" s="77" t="s">
        <v>628</v>
      </c>
      <c r="D542" s="78" t="s">
        <v>639</v>
      </c>
      <c r="E542" s="78" t="s">
        <v>1177</v>
      </c>
      <c r="F542" s="77"/>
      <c r="G542" s="79">
        <f>G543</f>
        <v>0</v>
      </c>
      <c r="H542" s="79">
        <f>H543</f>
        <v>11140140.41</v>
      </c>
      <c r="I542" s="79">
        <f t="shared" si="21"/>
        <v>11140140.41</v>
      </c>
      <c r="J542" s="95"/>
    </row>
    <row r="543" spans="2:10" ht="12.75">
      <c r="B543" s="88" t="s">
        <v>1288</v>
      </c>
      <c r="C543" s="77" t="s">
        <v>628</v>
      </c>
      <c r="D543" s="78" t="s">
        <v>639</v>
      </c>
      <c r="E543" s="78" t="s">
        <v>1289</v>
      </c>
      <c r="F543" s="77"/>
      <c r="G543" s="79">
        <f>G544</f>
        <v>0</v>
      </c>
      <c r="H543" s="79">
        <f>H544</f>
        <v>11140140.41</v>
      </c>
      <c r="I543" s="79">
        <f t="shared" si="21"/>
        <v>11140140.41</v>
      </c>
      <c r="J543" s="95"/>
    </row>
    <row r="544" spans="2:10" ht="24">
      <c r="B544" s="88" t="s">
        <v>926</v>
      </c>
      <c r="C544" s="77" t="s">
        <v>628</v>
      </c>
      <c r="D544" s="78" t="s">
        <v>639</v>
      </c>
      <c r="E544" s="78" t="s">
        <v>1290</v>
      </c>
      <c r="F544" s="77"/>
      <c r="G544" s="79">
        <f>G545+G547+G551+G549</f>
        <v>0</v>
      </c>
      <c r="H544" s="79">
        <f>H545+H547+H551+H549</f>
        <v>11140140.41</v>
      </c>
      <c r="I544" s="79">
        <f t="shared" si="21"/>
        <v>11140140.41</v>
      </c>
      <c r="J544" s="95"/>
    </row>
    <row r="545" spans="2:10" s="64" customFormat="1" ht="36">
      <c r="B545" s="88" t="s">
        <v>1291</v>
      </c>
      <c r="C545" s="77" t="s">
        <v>628</v>
      </c>
      <c r="D545" s="78" t="s">
        <v>639</v>
      </c>
      <c r="E545" s="78" t="s">
        <v>1292</v>
      </c>
      <c r="F545" s="77"/>
      <c r="G545" s="79">
        <f>G546</f>
        <v>0</v>
      </c>
      <c r="H545" s="79">
        <f>H546</f>
        <v>2064200</v>
      </c>
      <c r="I545" s="79">
        <f t="shared" si="21"/>
        <v>2064200</v>
      </c>
      <c r="J545" s="95"/>
    </row>
    <row r="546" spans="2:10" s="64" customFormat="1" ht="12.75">
      <c r="B546" s="88" t="s">
        <v>771</v>
      </c>
      <c r="C546" s="77" t="s">
        <v>628</v>
      </c>
      <c r="D546" s="78" t="s">
        <v>639</v>
      </c>
      <c r="E546" s="78" t="s">
        <v>1292</v>
      </c>
      <c r="F546" s="77" t="s">
        <v>997</v>
      </c>
      <c r="G546" s="79">
        <v>0</v>
      </c>
      <c r="H546" s="79">
        <v>2064200</v>
      </c>
      <c r="I546" s="79">
        <f t="shared" si="21"/>
        <v>2064200</v>
      </c>
      <c r="J546" s="95"/>
    </row>
    <row r="547" spans="2:10" ht="48">
      <c r="B547" s="88" t="s">
        <v>1144</v>
      </c>
      <c r="C547" s="77" t="s">
        <v>628</v>
      </c>
      <c r="D547" s="78" t="s">
        <v>639</v>
      </c>
      <c r="E547" s="78" t="s">
        <v>1293</v>
      </c>
      <c r="F547" s="77"/>
      <c r="G547" s="79">
        <f>G548</f>
        <v>0</v>
      </c>
      <c r="H547" s="79">
        <f>H548</f>
        <v>271900</v>
      </c>
      <c r="I547" s="79">
        <f t="shared" si="21"/>
        <v>271900</v>
      </c>
      <c r="J547" s="95"/>
    </row>
    <row r="548" spans="2:10" ht="12.75">
      <c r="B548" s="88" t="s">
        <v>771</v>
      </c>
      <c r="C548" s="77" t="s">
        <v>628</v>
      </c>
      <c r="D548" s="78" t="s">
        <v>639</v>
      </c>
      <c r="E548" s="78" t="s">
        <v>1293</v>
      </c>
      <c r="F548" s="77" t="s">
        <v>997</v>
      </c>
      <c r="G548" s="79">
        <v>0</v>
      </c>
      <c r="H548" s="79">
        <v>271900</v>
      </c>
      <c r="I548" s="79">
        <f t="shared" si="21"/>
        <v>271900</v>
      </c>
      <c r="J548" s="95"/>
    </row>
    <row r="549" spans="2:10" s="64" customFormat="1" ht="24">
      <c r="B549" s="88" t="s">
        <v>1359</v>
      </c>
      <c r="C549" s="77" t="s">
        <v>628</v>
      </c>
      <c r="D549" s="78" t="s">
        <v>639</v>
      </c>
      <c r="E549" s="78" t="s">
        <v>1360</v>
      </c>
      <c r="F549" s="77"/>
      <c r="G549" s="79">
        <f>G550</f>
        <v>0</v>
      </c>
      <c r="H549" s="79">
        <f>H550</f>
        <v>4428585.86</v>
      </c>
      <c r="I549" s="79">
        <f t="shared" si="21"/>
        <v>4428585.86</v>
      </c>
      <c r="J549" s="95"/>
    </row>
    <row r="550" spans="2:10" s="64" customFormat="1" ht="12.75">
      <c r="B550" s="88" t="s">
        <v>771</v>
      </c>
      <c r="C550" s="77" t="s">
        <v>628</v>
      </c>
      <c r="D550" s="78" t="s">
        <v>639</v>
      </c>
      <c r="E550" s="78" t="s">
        <v>1360</v>
      </c>
      <c r="F550" s="77" t="s">
        <v>997</v>
      </c>
      <c r="G550" s="79">
        <v>0</v>
      </c>
      <c r="H550" s="79">
        <f>44285.86+4384300</f>
        <v>4428585.86</v>
      </c>
      <c r="I550" s="79">
        <f t="shared" si="21"/>
        <v>4428585.86</v>
      </c>
      <c r="J550" s="95"/>
    </row>
    <row r="551" spans="2:10" s="64" customFormat="1" ht="24">
      <c r="B551" s="88" t="s">
        <v>1021</v>
      </c>
      <c r="C551" s="77" t="s">
        <v>628</v>
      </c>
      <c r="D551" s="78" t="s">
        <v>639</v>
      </c>
      <c r="E551" s="78" t="s">
        <v>1294</v>
      </c>
      <c r="F551" s="77"/>
      <c r="G551" s="79">
        <f>G552</f>
        <v>0</v>
      </c>
      <c r="H551" s="79">
        <f>H552</f>
        <v>4375454.55</v>
      </c>
      <c r="I551" s="79">
        <f aca="true" t="shared" si="23" ref="I551:I582">G551+H551</f>
        <v>4375454.55</v>
      </c>
      <c r="J551" s="95"/>
    </row>
    <row r="552" spans="2:10" ht="12.75">
      <c r="B552" s="88" t="s">
        <v>771</v>
      </c>
      <c r="C552" s="77" t="s">
        <v>628</v>
      </c>
      <c r="D552" s="78" t="s">
        <v>639</v>
      </c>
      <c r="E552" s="78" t="s">
        <v>1294</v>
      </c>
      <c r="F552" s="77" t="s">
        <v>997</v>
      </c>
      <c r="G552" s="79">
        <v>0</v>
      </c>
      <c r="H552" s="79">
        <f>43754.55+4331700</f>
        <v>4375454.55</v>
      </c>
      <c r="I552" s="79">
        <f t="shared" si="23"/>
        <v>4375454.55</v>
      </c>
      <c r="J552" s="95"/>
    </row>
    <row r="553" spans="2:10" ht="24">
      <c r="B553" s="88" t="s">
        <v>926</v>
      </c>
      <c r="C553" s="77" t="s">
        <v>628</v>
      </c>
      <c r="D553" s="78" t="s">
        <v>639</v>
      </c>
      <c r="E553" s="78" t="s">
        <v>748</v>
      </c>
      <c r="F553" s="77"/>
      <c r="G553" s="79">
        <f>G554</f>
        <v>7398030</v>
      </c>
      <c r="H553" s="79">
        <f>H554</f>
        <v>-7398030</v>
      </c>
      <c r="I553" s="79">
        <f t="shared" si="23"/>
        <v>0</v>
      </c>
      <c r="J553" s="95"/>
    </row>
    <row r="554" spans="2:10" ht="36">
      <c r="B554" s="88" t="s">
        <v>927</v>
      </c>
      <c r="C554" s="77" t="s">
        <v>628</v>
      </c>
      <c r="D554" s="78" t="s">
        <v>639</v>
      </c>
      <c r="E554" s="78" t="s">
        <v>747</v>
      </c>
      <c r="F554" s="77"/>
      <c r="G554" s="79">
        <f>G557+G555+G559</f>
        <v>7398030</v>
      </c>
      <c r="H554" s="79">
        <f>H557+H555+H559</f>
        <v>-7398030</v>
      </c>
      <c r="I554" s="79">
        <f t="shared" si="23"/>
        <v>0</v>
      </c>
      <c r="J554" s="95"/>
    </row>
    <row r="555" spans="2:10" ht="24">
      <c r="B555" s="88" t="s">
        <v>1021</v>
      </c>
      <c r="C555" s="77" t="s">
        <v>628</v>
      </c>
      <c r="D555" s="78" t="s">
        <v>639</v>
      </c>
      <c r="E555" s="78" t="s">
        <v>1132</v>
      </c>
      <c r="F555" s="77"/>
      <c r="G555" s="79">
        <f>G556</f>
        <v>5570400</v>
      </c>
      <c r="H555" s="79">
        <f>H556</f>
        <v>-5570400</v>
      </c>
      <c r="I555" s="79">
        <f t="shared" si="23"/>
        <v>0</v>
      </c>
      <c r="J555" s="95"/>
    </row>
    <row r="556" spans="2:10" ht="12.75">
      <c r="B556" s="88" t="s">
        <v>771</v>
      </c>
      <c r="C556" s="77" t="s">
        <v>628</v>
      </c>
      <c r="D556" s="78" t="s">
        <v>639</v>
      </c>
      <c r="E556" s="78" t="s">
        <v>1132</v>
      </c>
      <c r="F556" s="77" t="s">
        <v>997</v>
      </c>
      <c r="G556" s="79">
        <v>5570400</v>
      </c>
      <c r="H556" s="79">
        <v>-5570400</v>
      </c>
      <c r="I556" s="79">
        <f t="shared" si="23"/>
        <v>0</v>
      </c>
      <c r="J556" s="95"/>
    </row>
    <row r="557" spans="2:10" ht="48">
      <c r="B557" s="88" t="s">
        <v>929</v>
      </c>
      <c r="C557" s="77" t="s">
        <v>628</v>
      </c>
      <c r="D557" s="78" t="s">
        <v>639</v>
      </c>
      <c r="E557" s="78" t="s">
        <v>697</v>
      </c>
      <c r="F557" s="77"/>
      <c r="G557" s="79">
        <f>G558</f>
        <v>1218420</v>
      </c>
      <c r="H557" s="79">
        <f>H558</f>
        <v>-1218420</v>
      </c>
      <c r="I557" s="79">
        <f t="shared" si="23"/>
        <v>0</v>
      </c>
      <c r="J557" s="95"/>
    </row>
    <row r="558" spans="2:10" ht="12.75">
      <c r="B558" s="88" t="s">
        <v>771</v>
      </c>
      <c r="C558" s="77" t="s">
        <v>628</v>
      </c>
      <c r="D558" s="78" t="s">
        <v>639</v>
      </c>
      <c r="E558" s="78" t="s">
        <v>697</v>
      </c>
      <c r="F558" s="77">
        <v>300</v>
      </c>
      <c r="G558" s="79">
        <v>1218420</v>
      </c>
      <c r="H558" s="79">
        <v>-1218420</v>
      </c>
      <c r="I558" s="79">
        <f t="shared" si="23"/>
        <v>0</v>
      </c>
      <c r="J558" s="95"/>
    </row>
    <row r="559" spans="2:10" ht="48">
      <c r="B559" s="88" t="s">
        <v>1144</v>
      </c>
      <c r="C559" s="77" t="s">
        <v>628</v>
      </c>
      <c r="D559" s="78" t="s">
        <v>639</v>
      </c>
      <c r="E559" s="78" t="s">
        <v>1145</v>
      </c>
      <c r="F559" s="77"/>
      <c r="G559" s="79">
        <f>G560</f>
        <v>609210</v>
      </c>
      <c r="H559" s="79">
        <f>H560</f>
        <v>-609210</v>
      </c>
      <c r="I559" s="79">
        <f t="shared" si="23"/>
        <v>0</v>
      </c>
      <c r="J559" s="95"/>
    </row>
    <row r="560" spans="2:10" ht="12.75">
      <c r="B560" s="88" t="s">
        <v>771</v>
      </c>
      <c r="C560" s="77" t="s">
        <v>628</v>
      </c>
      <c r="D560" s="78" t="s">
        <v>639</v>
      </c>
      <c r="E560" s="78" t="s">
        <v>1145</v>
      </c>
      <c r="F560" s="77" t="s">
        <v>997</v>
      </c>
      <c r="G560" s="79">
        <v>609210</v>
      </c>
      <c r="H560" s="79">
        <v>-609210</v>
      </c>
      <c r="I560" s="79">
        <f t="shared" si="23"/>
        <v>0</v>
      </c>
      <c r="J560" s="95"/>
    </row>
    <row r="561" spans="2:10" s="133" customFormat="1" ht="12.75">
      <c r="B561" s="127" t="s">
        <v>556</v>
      </c>
      <c r="C561" s="117" t="s">
        <v>628</v>
      </c>
      <c r="D561" s="128" t="s">
        <v>640</v>
      </c>
      <c r="E561" s="128"/>
      <c r="F561" s="117"/>
      <c r="G561" s="129">
        <f>G562+G565</f>
        <v>6569000</v>
      </c>
      <c r="H561" s="129">
        <f>H562+H565</f>
        <v>-2746800</v>
      </c>
      <c r="I561" s="129">
        <f t="shared" si="23"/>
        <v>3822200</v>
      </c>
      <c r="J561" s="135"/>
    </row>
    <row r="562" spans="2:9" ht="12.75">
      <c r="B562" s="88" t="s">
        <v>1070</v>
      </c>
      <c r="C562" s="77" t="s">
        <v>628</v>
      </c>
      <c r="D562" s="78" t="s">
        <v>640</v>
      </c>
      <c r="E562" s="78" t="s">
        <v>757</v>
      </c>
      <c r="F562" s="77"/>
      <c r="G562" s="79">
        <f>G563</f>
        <v>6569000</v>
      </c>
      <c r="H562" s="79">
        <f>H563</f>
        <v>-6569000</v>
      </c>
      <c r="I562" s="79">
        <f t="shared" si="23"/>
        <v>0</v>
      </c>
    </row>
    <row r="563" spans="2:9" ht="48">
      <c r="B563" s="88" t="s">
        <v>1134</v>
      </c>
      <c r="C563" s="77" t="s">
        <v>628</v>
      </c>
      <c r="D563" s="78" t="s">
        <v>640</v>
      </c>
      <c r="E563" s="78" t="s">
        <v>1063</v>
      </c>
      <c r="F563" s="77"/>
      <c r="G563" s="79">
        <f>G564</f>
        <v>6569000</v>
      </c>
      <c r="H563" s="79">
        <f>H564</f>
        <v>-6569000</v>
      </c>
      <c r="I563" s="79">
        <f t="shared" si="23"/>
        <v>0</v>
      </c>
    </row>
    <row r="564" spans="2:9" ht="12.75">
      <c r="B564" s="88" t="s">
        <v>771</v>
      </c>
      <c r="C564" s="77" t="s">
        <v>628</v>
      </c>
      <c r="D564" s="78" t="s">
        <v>640</v>
      </c>
      <c r="E564" s="78" t="s">
        <v>1063</v>
      </c>
      <c r="F564" s="77">
        <v>300</v>
      </c>
      <c r="G564" s="79">
        <v>6569000</v>
      </c>
      <c r="H564" s="79">
        <v>-6569000</v>
      </c>
      <c r="I564" s="79">
        <f t="shared" si="23"/>
        <v>0</v>
      </c>
    </row>
    <row r="565" spans="2:9" ht="24">
      <c r="B565" s="88" t="s">
        <v>1209</v>
      </c>
      <c r="C565" s="77" t="s">
        <v>628</v>
      </c>
      <c r="D565" s="78" t="s">
        <v>640</v>
      </c>
      <c r="E565" s="78" t="s">
        <v>1210</v>
      </c>
      <c r="F565" s="77"/>
      <c r="G565" s="79">
        <f aca="true" t="shared" si="24" ref="G565:H568">G566</f>
        <v>0</v>
      </c>
      <c r="H565" s="79">
        <f t="shared" si="24"/>
        <v>3822200</v>
      </c>
      <c r="I565" s="79">
        <f t="shared" si="23"/>
        <v>3822200</v>
      </c>
    </row>
    <row r="566" spans="2:9" ht="12.75">
      <c r="B566" s="88" t="s">
        <v>1211</v>
      </c>
      <c r="C566" s="77" t="s">
        <v>628</v>
      </c>
      <c r="D566" s="78" t="s">
        <v>640</v>
      </c>
      <c r="E566" s="78" t="s">
        <v>1212</v>
      </c>
      <c r="F566" s="77"/>
      <c r="G566" s="79">
        <f t="shared" si="24"/>
        <v>0</v>
      </c>
      <c r="H566" s="79">
        <f t="shared" si="24"/>
        <v>3822200</v>
      </c>
      <c r="I566" s="79">
        <f t="shared" si="23"/>
        <v>3822200</v>
      </c>
    </row>
    <row r="567" spans="2:9" ht="24">
      <c r="B567" s="88" t="s">
        <v>1213</v>
      </c>
      <c r="C567" s="77" t="s">
        <v>628</v>
      </c>
      <c r="D567" s="78" t="s">
        <v>640</v>
      </c>
      <c r="E567" s="78" t="s">
        <v>1214</v>
      </c>
      <c r="F567" s="77"/>
      <c r="G567" s="79">
        <f t="shared" si="24"/>
        <v>0</v>
      </c>
      <c r="H567" s="79">
        <f t="shared" si="24"/>
        <v>3822200</v>
      </c>
      <c r="I567" s="79">
        <f t="shared" si="23"/>
        <v>3822200</v>
      </c>
    </row>
    <row r="568" spans="2:9" ht="48">
      <c r="B568" s="88" t="s">
        <v>1134</v>
      </c>
      <c r="C568" s="77" t="s">
        <v>628</v>
      </c>
      <c r="D568" s="78" t="s">
        <v>640</v>
      </c>
      <c r="E568" s="78" t="s">
        <v>1295</v>
      </c>
      <c r="F568" s="77"/>
      <c r="G568" s="79">
        <f t="shared" si="24"/>
        <v>0</v>
      </c>
      <c r="H568" s="79">
        <f t="shared" si="24"/>
        <v>3822200</v>
      </c>
      <c r="I568" s="79">
        <f t="shared" si="23"/>
        <v>3822200</v>
      </c>
    </row>
    <row r="569" spans="2:9" ht="12.75">
      <c r="B569" s="88" t="s">
        <v>771</v>
      </c>
      <c r="C569" s="77" t="s">
        <v>628</v>
      </c>
      <c r="D569" s="78" t="s">
        <v>640</v>
      </c>
      <c r="E569" s="78" t="s">
        <v>1295</v>
      </c>
      <c r="F569" s="77" t="s">
        <v>997</v>
      </c>
      <c r="G569" s="79">
        <v>0</v>
      </c>
      <c r="H569" s="79">
        <v>3822200</v>
      </c>
      <c r="I569" s="79">
        <f t="shared" si="23"/>
        <v>3822200</v>
      </c>
    </row>
    <row r="570" spans="2:10" s="133" customFormat="1" ht="12.75">
      <c r="B570" s="127" t="s">
        <v>268</v>
      </c>
      <c r="C570" s="117" t="s">
        <v>642</v>
      </c>
      <c r="D570" s="128"/>
      <c r="E570" s="128"/>
      <c r="F570" s="117"/>
      <c r="G570" s="129">
        <f aca="true" t="shared" si="25" ref="G570:H573">G571</f>
        <v>0</v>
      </c>
      <c r="H570" s="129">
        <f t="shared" si="25"/>
        <v>1000000</v>
      </c>
      <c r="I570" s="129">
        <f aca="true" t="shared" si="26" ref="I570:I594">G570+H570</f>
        <v>1000000</v>
      </c>
      <c r="J570" s="134"/>
    </row>
    <row r="571" spans="2:10" s="133" customFormat="1" ht="12.75">
      <c r="B571" s="127" t="s">
        <v>626</v>
      </c>
      <c r="C571" s="117" t="s">
        <v>642</v>
      </c>
      <c r="D571" s="117" t="s">
        <v>638</v>
      </c>
      <c r="E571" s="128"/>
      <c r="F571" s="117"/>
      <c r="G571" s="129">
        <f t="shared" si="25"/>
        <v>0</v>
      </c>
      <c r="H571" s="129">
        <f t="shared" si="25"/>
        <v>1000000</v>
      </c>
      <c r="I571" s="129">
        <f t="shared" si="26"/>
        <v>1000000</v>
      </c>
      <c r="J571" s="134"/>
    </row>
    <row r="572" spans="2:10" ht="36">
      <c r="B572" s="88" t="s">
        <v>1247</v>
      </c>
      <c r="C572" s="77" t="s">
        <v>642</v>
      </c>
      <c r="D572" s="77" t="s">
        <v>638</v>
      </c>
      <c r="E572" s="77" t="s">
        <v>1248</v>
      </c>
      <c r="F572" s="77"/>
      <c r="G572" s="79">
        <f t="shared" si="25"/>
        <v>0</v>
      </c>
      <c r="H572" s="79">
        <f t="shared" si="25"/>
        <v>1000000</v>
      </c>
      <c r="I572" s="79">
        <f t="shared" si="26"/>
        <v>1000000</v>
      </c>
      <c r="J572" s="95"/>
    </row>
    <row r="573" spans="2:10" ht="12.75">
      <c r="B573" s="88" t="s">
        <v>1361</v>
      </c>
      <c r="C573" s="77" t="s">
        <v>642</v>
      </c>
      <c r="D573" s="77" t="s">
        <v>638</v>
      </c>
      <c r="E573" s="77" t="s">
        <v>1362</v>
      </c>
      <c r="F573" s="77"/>
      <c r="G573" s="79">
        <f t="shared" si="25"/>
        <v>0</v>
      </c>
      <c r="H573" s="79">
        <f t="shared" si="25"/>
        <v>1000000</v>
      </c>
      <c r="I573" s="79">
        <f t="shared" si="26"/>
        <v>1000000</v>
      </c>
      <c r="J573" s="95"/>
    </row>
    <row r="574" spans="2:10" ht="24">
      <c r="B574" s="88" t="s">
        <v>1363</v>
      </c>
      <c r="C574" s="77" t="s">
        <v>642</v>
      </c>
      <c r="D574" s="77" t="s">
        <v>638</v>
      </c>
      <c r="E574" s="77" t="s">
        <v>1364</v>
      </c>
      <c r="F574" s="77"/>
      <c r="G574" s="79">
        <f>G575+G576+G577</f>
        <v>0</v>
      </c>
      <c r="H574" s="79">
        <f>H575+H576+H577</f>
        <v>1000000</v>
      </c>
      <c r="I574" s="79">
        <f t="shared" si="26"/>
        <v>1000000</v>
      </c>
      <c r="J574" s="95"/>
    </row>
    <row r="575" spans="2:10" ht="48">
      <c r="B575" s="88" t="s">
        <v>765</v>
      </c>
      <c r="C575" s="77" t="s">
        <v>642</v>
      </c>
      <c r="D575" s="77" t="s">
        <v>638</v>
      </c>
      <c r="E575" s="77" t="s">
        <v>1364</v>
      </c>
      <c r="F575" s="77" t="s">
        <v>733</v>
      </c>
      <c r="G575" s="79">
        <v>0</v>
      </c>
      <c r="H575" s="79">
        <v>400000</v>
      </c>
      <c r="I575" s="79">
        <f t="shared" si="26"/>
        <v>400000</v>
      </c>
      <c r="J575" s="95"/>
    </row>
    <row r="576" spans="2:10" ht="24">
      <c r="B576" s="88" t="s">
        <v>766</v>
      </c>
      <c r="C576" s="77" t="s">
        <v>642</v>
      </c>
      <c r="D576" s="77" t="s">
        <v>638</v>
      </c>
      <c r="E576" s="77" t="s">
        <v>1364</v>
      </c>
      <c r="F576" s="77" t="s">
        <v>971</v>
      </c>
      <c r="G576" s="79">
        <v>0</v>
      </c>
      <c r="H576" s="79">
        <v>320000</v>
      </c>
      <c r="I576" s="79">
        <f t="shared" si="26"/>
        <v>320000</v>
      </c>
      <c r="J576" s="95"/>
    </row>
    <row r="577" spans="2:10" ht="12.75">
      <c r="B577" s="88" t="s">
        <v>771</v>
      </c>
      <c r="C577" s="77" t="s">
        <v>642</v>
      </c>
      <c r="D577" s="77" t="s">
        <v>638</v>
      </c>
      <c r="E577" s="77" t="s">
        <v>1364</v>
      </c>
      <c r="F577" s="77" t="s">
        <v>997</v>
      </c>
      <c r="G577" s="79">
        <v>0</v>
      </c>
      <c r="H577" s="79">
        <f>230000+50000</f>
        <v>280000</v>
      </c>
      <c r="I577" s="79">
        <f t="shared" si="26"/>
        <v>280000</v>
      </c>
      <c r="J577" s="95"/>
    </row>
    <row r="578" spans="2:10" s="133" customFormat="1" ht="12.75">
      <c r="B578" s="127" t="s">
        <v>959</v>
      </c>
      <c r="C578" s="117" t="s">
        <v>647</v>
      </c>
      <c r="D578" s="128"/>
      <c r="E578" s="117"/>
      <c r="F578" s="117"/>
      <c r="G578" s="129">
        <f>G579+G587</f>
        <v>1200000</v>
      </c>
      <c r="H578" s="129">
        <f>H579+H587</f>
        <v>800000</v>
      </c>
      <c r="I578" s="129">
        <f t="shared" si="26"/>
        <v>2000000</v>
      </c>
      <c r="J578" s="134"/>
    </row>
    <row r="579" spans="2:10" ht="12.75">
      <c r="B579" s="88" t="s">
        <v>630</v>
      </c>
      <c r="C579" s="77" t="s">
        <v>647</v>
      </c>
      <c r="D579" s="78" t="s">
        <v>637</v>
      </c>
      <c r="E579" s="78"/>
      <c r="F579" s="77"/>
      <c r="G579" s="79">
        <f>G580+G583</f>
        <v>200000</v>
      </c>
      <c r="H579" s="79">
        <f>H580+H583</f>
        <v>0</v>
      </c>
      <c r="I579" s="79">
        <f t="shared" si="26"/>
        <v>200000</v>
      </c>
      <c r="J579" s="95"/>
    </row>
    <row r="580" spans="2:10" ht="36">
      <c r="B580" s="88" t="s">
        <v>897</v>
      </c>
      <c r="C580" s="77" t="s">
        <v>647</v>
      </c>
      <c r="D580" s="78" t="s">
        <v>637</v>
      </c>
      <c r="E580" s="78" t="s">
        <v>750</v>
      </c>
      <c r="F580" s="77"/>
      <c r="G580" s="79">
        <f>G581</f>
        <v>200000</v>
      </c>
      <c r="H580" s="79">
        <f>H581</f>
        <v>-200000</v>
      </c>
      <c r="I580" s="79">
        <f t="shared" si="26"/>
        <v>0</v>
      </c>
      <c r="J580" s="95"/>
    </row>
    <row r="581" spans="2:10" ht="12.75">
      <c r="B581" s="88" t="s">
        <v>899</v>
      </c>
      <c r="C581" s="77" t="s">
        <v>647</v>
      </c>
      <c r="D581" s="78" t="s">
        <v>637</v>
      </c>
      <c r="E581" s="78" t="s">
        <v>703</v>
      </c>
      <c r="F581" s="77"/>
      <c r="G581" s="79">
        <f>G582</f>
        <v>200000</v>
      </c>
      <c r="H581" s="79">
        <f>H582</f>
        <v>-200000</v>
      </c>
      <c r="I581" s="79">
        <f t="shared" si="26"/>
        <v>0</v>
      </c>
      <c r="J581" s="95"/>
    </row>
    <row r="582" spans="2:10" ht="24">
      <c r="B582" s="88" t="s">
        <v>767</v>
      </c>
      <c r="C582" s="77" t="s">
        <v>647</v>
      </c>
      <c r="D582" s="78" t="s">
        <v>637</v>
      </c>
      <c r="E582" s="78" t="s">
        <v>703</v>
      </c>
      <c r="F582" s="77">
        <v>600</v>
      </c>
      <c r="G582" s="79">
        <v>200000</v>
      </c>
      <c r="H582" s="79">
        <v>-200000</v>
      </c>
      <c r="I582" s="79">
        <f t="shared" si="26"/>
        <v>0</v>
      </c>
      <c r="J582" s="95"/>
    </row>
    <row r="583" spans="2:10" s="64" customFormat="1" ht="24">
      <c r="B583" s="88" t="s">
        <v>1365</v>
      </c>
      <c r="C583" s="77" t="s">
        <v>647</v>
      </c>
      <c r="D583" s="78" t="s">
        <v>637</v>
      </c>
      <c r="E583" s="78" t="s">
        <v>1366</v>
      </c>
      <c r="F583" s="77"/>
      <c r="G583" s="79">
        <f aca="true" t="shared" si="27" ref="G583:H585">G584</f>
        <v>0</v>
      </c>
      <c r="H583" s="79">
        <f t="shared" si="27"/>
        <v>200000</v>
      </c>
      <c r="I583" s="79">
        <f t="shared" si="26"/>
        <v>200000</v>
      </c>
      <c r="J583" s="95"/>
    </row>
    <row r="584" spans="2:10" ht="24">
      <c r="B584" s="88" t="s">
        <v>1367</v>
      </c>
      <c r="C584" s="77" t="s">
        <v>647</v>
      </c>
      <c r="D584" s="78" t="s">
        <v>637</v>
      </c>
      <c r="E584" s="78" t="s">
        <v>1368</v>
      </c>
      <c r="F584" s="77"/>
      <c r="G584" s="79">
        <f t="shared" si="27"/>
        <v>0</v>
      </c>
      <c r="H584" s="79">
        <f t="shared" si="27"/>
        <v>200000</v>
      </c>
      <c r="I584" s="79">
        <f t="shared" si="26"/>
        <v>200000</v>
      </c>
      <c r="J584" s="95"/>
    </row>
    <row r="585" spans="2:10" ht="24">
      <c r="B585" s="88" t="s">
        <v>1369</v>
      </c>
      <c r="C585" s="77" t="s">
        <v>647</v>
      </c>
      <c r="D585" s="78" t="s">
        <v>637</v>
      </c>
      <c r="E585" s="78" t="s">
        <v>1370</v>
      </c>
      <c r="F585" s="77"/>
      <c r="G585" s="79">
        <f t="shared" si="27"/>
        <v>0</v>
      </c>
      <c r="H585" s="79">
        <f t="shared" si="27"/>
        <v>200000</v>
      </c>
      <c r="I585" s="79">
        <f t="shared" si="26"/>
        <v>200000</v>
      </c>
      <c r="J585" s="95"/>
    </row>
    <row r="586" spans="2:10" ht="24">
      <c r="B586" s="88" t="s">
        <v>767</v>
      </c>
      <c r="C586" s="77" t="s">
        <v>647</v>
      </c>
      <c r="D586" s="78" t="s">
        <v>637</v>
      </c>
      <c r="E586" s="78" t="s">
        <v>1370</v>
      </c>
      <c r="F586" s="77" t="s">
        <v>973</v>
      </c>
      <c r="G586" s="79">
        <v>0</v>
      </c>
      <c r="H586" s="79">
        <v>200000</v>
      </c>
      <c r="I586" s="79">
        <f t="shared" si="26"/>
        <v>200000</v>
      </c>
      <c r="J586" s="95"/>
    </row>
    <row r="587" spans="2:10" s="133" customFormat="1" ht="12.75">
      <c r="B587" s="127" t="s">
        <v>587</v>
      </c>
      <c r="C587" s="117" t="s">
        <v>647</v>
      </c>
      <c r="D587" s="128" t="s">
        <v>638</v>
      </c>
      <c r="E587" s="128"/>
      <c r="F587" s="117"/>
      <c r="G587" s="129">
        <f>G588+G591</f>
        <v>1000000</v>
      </c>
      <c r="H587" s="129">
        <f>H588+H591</f>
        <v>800000</v>
      </c>
      <c r="I587" s="129">
        <f t="shared" si="26"/>
        <v>1800000</v>
      </c>
      <c r="J587" s="134"/>
    </row>
    <row r="588" spans="2:10" ht="36">
      <c r="B588" s="88" t="s">
        <v>897</v>
      </c>
      <c r="C588" s="77" t="s">
        <v>647</v>
      </c>
      <c r="D588" s="78" t="s">
        <v>638</v>
      </c>
      <c r="E588" s="78" t="s">
        <v>750</v>
      </c>
      <c r="F588" s="77"/>
      <c r="G588" s="79">
        <f>G589</f>
        <v>1000000</v>
      </c>
      <c r="H588" s="79">
        <f>H589</f>
        <v>-1000000</v>
      </c>
      <c r="I588" s="79">
        <f t="shared" si="26"/>
        <v>0</v>
      </c>
      <c r="J588" s="95"/>
    </row>
    <row r="589" spans="2:10" s="64" customFormat="1" ht="12.75">
      <c r="B589" s="88" t="s">
        <v>898</v>
      </c>
      <c r="C589" s="77" t="s">
        <v>647</v>
      </c>
      <c r="D589" s="78" t="s">
        <v>638</v>
      </c>
      <c r="E589" s="78" t="s">
        <v>704</v>
      </c>
      <c r="F589" s="77"/>
      <c r="G589" s="79">
        <f>G590</f>
        <v>1000000</v>
      </c>
      <c r="H589" s="79">
        <f>H590</f>
        <v>-1000000</v>
      </c>
      <c r="I589" s="79">
        <f t="shared" si="26"/>
        <v>0</v>
      </c>
      <c r="J589" s="95"/>
    </row>
    <row r="590" spans="2:10" s="64" customFormat="1" ht="24">
      <c r="B590" s="88" t="s">
        <v>767</v>
      </c>
      <c r="C590" s="77" t="s">
        <v>647</v>
      </c>
      <c r="D590" s="78" t="s">
        <v>638</v>
      </c>
      <c r="E590" s="78" t="s">
        <v>704</v>
      </c>
      <c r="F590" s="77">
        <v>600</v>
      </c>
      <c r="G590" s="79">
        <v>1000000</v>
      </c>
      <c r="H590" s="79">
        <v>-1000000</v>
      </c>
      <c r="I590" s="79">
        <f t="shared" si="26"/>
        <v>0</v>
      </c>
      <c r="J590" s="95"/>
    </row>
    <row r="591" spans="2:10" s="64" customFormat="1" ht="24">
      <c r="B591" s="88" t="s">
        <v>1365</v>
      </c>
      <c r="C591" s="77" t="s">
        <v>647</v>
      </c>
      <c r="D591" s="78" t="s">
        <v>638</v>
      </c>
      <c r="E591" s="78" t="s">
        <v>1366</v>
      </c>
      <c r="F591" s="77"/>
      <c r="G591" s="79">
        <f aca="true" t="shared" si="28" ref="G591:H593">G592</f>
        <v>0</v>
      </c>
      <c r="H591" s="79">
        <f t="shared" si="28"/>
        <v>1800000</v>
      </c>
      <c r="I591" s="79">
        <f t="shared" si="26"/>
        <v>1800000</v>
      </c>
      <c r="J591" s="95"/>
    </row>
    <row r="592" spans="2:10" ht="12.75">
      <c r="B592" s="88" t="s">
        <v>1371</v>
      </c>
      <c r="C592" s="77" t="s">
        <v>647</v>
      </c>
      <c r="D592" s="78" t="s">
        <v>638</v>
      </c>
      <c r="E592" s="78" t="s">
        <v>1372</v>
      </c>
      <c r="F592" s="77"/>
      <c r="G592" s="79">
        <f t="shared" si="28"/>
        <v>0</v>
      </c>
      <c r="H592" s="79">
        <f t="shared" si="28"/>
        <v>1800000</v>
      </c>
      <c r="I592" s="79">
        <f t="shared" si="26"/>
        <v>1800000</v>
      </c>
      <c r="J592" s="95"/>
    </row>
    <row r="593" spans="2:10" ht="24">
      <c r="B593" s="88" t="s">
        <v>1373</v>
      </c>
      <c r="C593" s="77" t="s">
        <v>647</v>
      </c>
      <c r="D593" s="78" t="s">
        <v>638</v>
      </c>
      <c r="E593" s="78" t="s">
        <v>1374</v>
      </c>
      <c r="F593" s="77"/>
      <c r="G593" s="79">
        <f t="shared" si="28"/>
        <v>0</v>
      </c>
      <c r="H593" s="79">
        <f t="shared" si="28"/>
        <v>1800000</v>
      </c>
      <c r="I593" s="79">
        <f t="shared" si="26"/>
        <v>1800000</v>
      </c>
      <c r="J593" s="95"/>
    </row>
    <row r="594" spans="2:10" ht="24">
      <c r="B594" s="88" t="s">
        <v>767</v>
      </c>
      <c r="C594" s="77" t="s">
        <v>647</v>
      </c>
      <c r="D594" s="78" t="s">
        <v>638</v>
      </c>
      <c r="E594" s="78" t="s">
        <v>1374</v>
      </c>
      <c r="F594" s="77" t="s">
        <v>973</v>
      </c>
      <c r="G594" s="79">
        <v>0</v>
      </c>
      <c r="H594" s="79">
        <v>1800000</v>
      </c>
      <c r="I594" s="79">
        <f t="shared" si="26"/>
        <v>1800000</v>
      </c>
      <c r="J594" s="95"/>
    </row>
    <row r="595" spans="2:10" s="133" customFormat="1" ht="12.75">
      <c r="B595" s="127" t="s">
        <v>951</v>
      </c>
      <c r="C595" s="117" t="s">
        <v>643</v>
      </c>
      <c r="D595" s="128"/>
      <c r="E595" s="128"/>
      <c r="F595" s="117"/>
      <c r="G595" s="129">
        <f>G596</f>
        <v>0</v>
      </c>
      <c r="H595" s="129">
        <f>H596</f>
        <v>3000</v>
      </c>
      <c r="I595" s="129">
        <f aca="true" t="shared" si="29" ref="I595:I626">G595+H595</f>
        <v>3000</v>
      </c>
      <c r="J595" s="135"/>
    </row>
    <row r="596" spans="2:10" s="133" customFormat="1" ht="24">
      <c r="B596" s="127" t="s">
        <v>1028</v>
      </c>
      <c r="C596" s="117" t="s">
        <v>643</v>
      </c>
      <c r="D596" s="128" t="s">
        <v>637</v>
      </c>
      <c r="E596" s="128"/>
      <c r="F596" s="117"/>
      <c r="G596" s="129">
        <f>G597</f>
        <v>0</v>
      </c>
      <c r="H596" s="129">
        <f>H597</f>
        <v>3000</v>
      </c>
      <c r="I596" s="129">
        <f t="shared" si="29"/>
        <v>3000</v>
      </c>
      <c r="J596" s="135"/>
    </row>
    <row r="597" spans="2:9" ht="24">
      <c r="B597" s="88" t="s">
        <v>1161</v>
      </c>
      <c r="C597" s="77" t="s">
        <v>643</v>
      </c>
      <c r="D597" s="78" t="s">
        <v>637</v>
      </c>
      <c r="E597" s="78" t="s">
        <v>1162</v>
      </c>
      <c r="F597" s="77"/>
      <c r="G597" s="79">
        <f aca="true" t="shared" si="30" ref="G597:H600">G598</f>
        <v>0</v>
      </c>
      <c r="H597" s="79">
        <f t="shared" si="30"/>
        <v>3000</v>
      </c>
      <c r="I597" s="79">
        <f t="shared" si="29"/>
        <v>3000</v>
      </c>
    </row>
    <row r="598" spans="2:9" ht="24">
      <c r="B598" s="88" t="s">
        <v>1296</v>
      </c>
      <c r="C598" s="77" t="s">
        <v>643</v>
      </c>
      <c r="D598" s="78" t="s">
        <v>637</v>
      </c>
      <c r="E598" s="78" t="s">
        <v>1297</v>
      </c>
      <c r="F598" s="77"/>
      <c r="G598" s="79">
        <f t="shared" si="30"/>
        <v>0</v>
      </c>
      <c r="H598" s="79">
        <f t="shared" si="30"/>
        <v>3000</v>
      </c>
      <c r="I598" s="79">
        <f t="shared" si="29"/>
        <v>3000</v>
      </c>
    </row>
    <row r="599" spans="2:9" ht="36">
      <c r="B599" s="88" t="s">
        <v>1298</v>
      </c>
      <c r="C599" s="77" t="s">
        <v>643</v>
      </c>
      <c r="D599" s="78" t="s">
        <v>637</v>
      </c>
      <c r="E599" s="78" t="s">
        <v>1299</v>
      </c>
      <c r="F599" s="77"/>
      <c r="G599" s="79">
        <f t="shared" si="30"/>
        <v>0</v>
      </c>
      <c r="H599" s="79">
        <f t="shared" si="30"/>
        <v>3000</v>
      </c>
      <c r="I599" s="79">
        <f t="shared" si="29"/>
        <v>3000</v>
      </c>
    </row>
    <row r="600" spans="2:9" ht="12.75">
      <c r="B600" s="88" t="s">
        <v>1300</v>
      </c>
      <c r="C600" s="77" t="s">
        <v>643</v>
      </c>
      <c r="D600" s="78" t="s">
        <v>637</v>
      </c>
      <c r="E600" s="78" t="s">
        <v>1301</v>
      </c>
      <c r="F600" s="77"/>
      <c r="G600" s="79">
        <f t="shared" si="30"/>
        <v>0</v>
      </c>
      <c r="H600" s="79">
        <f t="shared" si="30"/>
        <v>3000</v>
      </c>
      <c r="I600" s="79">
        <f t="shared" si="29"/>
        <v>3000</v>
      </c>
    </row>
    <row r="601" spans="2:9" ht="12.75">
      <c r="B601" s="88" t="s">
        <v>770</v>
      </c>
      <c r="C601" s="77" t="s">
        <v>643</v>
      </c>
      <c r="D601" s="78" t="s">
        <v>637</v>
      </c>
      <c r="E601" s="78" t="s">
        <v>1301</v>
      </c>
      <c r="F601" s="77" t="s">
        <v>1302</v>
      </c>
      <c r="G601" s="79"/>
      <c r="H601" s="79">
        <v>3000</v>
      </c>
      <c r="I601" s="79">
        <f t="shared" si="29"/>
        <v>3000</v>
      </c>
    </row>
    <row r="602" spans="2:10" s="133" customFormat="1" ht="31.5" customHeight="1">
      <c r="B602" s="127" t="s">
        <v>953</v>
      </c>
      <c r="C602" s="117" t="s">
        <v>645</v>
      </c>
      <c r="D602" s="128"/>
      <c r="E602" s="128"/>
      <c r="F602" s="117"/>
      <c r="G602" s="129">
        <f>G603+G618</f>
        <v>23806200</v>
      </c>
      <c r="H602" s="129">
        <f>H603+H618</f>
        <v>11368921</v>
      </c>
      <c r="I602" s="129">
        <f t="shared" si="29"/>
        <v>35175121</v>
      </c>
      <c r="J602" s="135"/>
    </row>
    <row r="603" spans="2:10" s="133" customFormat="1" ht="33.75" customHeight="1">
      <c r="B603" s="127" t="s">
        <v>378</v>
      </c>
      <c r="C603" s="117" t="s">
        <v>645</v>
      </c>
      <c r="D603" s="128" t="s">
        <v>637</v>
      </c>
      <c r="E603" s="128"/>
      <c r="F603" s="117"/>
      <c r="G603" s="129">
        <f>G604+G610</f>
        <v>23806200</v>
      </c>
      <c r="H603" s="129">
        <f>H604+H610</f>
        <v>-35600</v>
      </c>
      <c r="I603" s="129">
        <f t="shared" si="29"/>
        <v>23770600</v>
      </c>
      <c r="J603" s="135"/>
    </row>
    <row r="604" spans="2:9" ht="36">
      <c r="B604" s="88" t="s">
        <v>902</v>
      </c>
      <c r="C604" s="77" t="s">
        <v>645</v>
      </c>
      <c r="D604" s="78" t="s">
        <v>637</v>
      </c>
      <c r="E604" s="78" t="s">
        <v>763</v>
      </c>
      <c r="F604" s="77"/>
      <c r="G604" s="79">
        <f>G605</f>
        <v>23806200</v>
      </c>
      <c r="H604" s="79">
        <f>H605</f>
        <v>-23806200</v>
      </c>
      <c r="I604" s="79">
        <f t="shared" si="29"/>
        <v>0</v>
      </c>
    </row>
    <row r="605" spans="2:9" ht="24">
      <c r="B605" s="88" t="s">
        <v>904</v>
      </c>
      <c r="C605" s="77" t="s">
        <v>645</v>
      </c>
      <c r="D605" s="78" t="s">
        <v>637</v>
      </c>
      <c r="E605" s="78" t="s">
        <v>764</v>
      </c>
      <c r="F605" s="77"/>
      <c r="G605" s="79">
        <f>G606+G608</f>
        <v>23806200</v>
      </c>
      <c r="H605" s="79">
        <f>H606+H608</f>
        <v>-23806200</v>
      </c>
      <c r="I605" s="79">
        <f t="shared" si="29"/>
        <v>0</v>
      </c>
    </row>
    <row r="606" spans="2:9" ht="24">
      <c r="B606" s="88" t="s">
        <v>905</v>
      </c>
      <c r="C606" s="77" t="s">
        <v>645</v>
      </c>
      <c r="D606" s="78" t="s">
        <v>637</v>
      </c>
      <c r="E606" s="78" t="s">
        <v>729</v>
      </c>
      <c r="F606" s="77"/>
      <c r="G606" s="79">
        <f>G607</f>
        <v>17093700</v>
      </c>
      <c r="H606" s="79">
        <f>H607</f>
        <v>-17093700</v>
      </c>
      <c r="I606" s="79">
        <f t="shared" si="29"/>
        <v>0</v>
      </c>
    </row>
    <row r="607" spans="2:9" ht="12.75">
      <c r="B607" s="88" t="s">
        <v>768</v>
      </c>
      <c r="C607" s="77" t="s">
        <v>645</v>
      </c>
      <c r="D607" s="78" t="s">
        <v>637</v>
      </c>
      <c r="E607" s="78" t="s">
        <v>729</v>
      </c>
      <c r="F607" s="77">
        <v>500</v>
      </c>
      <c r="G607" s="79">
        <v>17093700</v>
      </c>
      <c r="H607" s="79">
        <v>-17093700</v>
      </c>
      <c r="I607" s="79">
        <f t="shared" si="29"/>
        <v>0</v>
      </c>
    </row>
    <row r="608" spans="2:9" ht="24">
      <c r="B608" s="88" t="s">
        <v>906</v>
      </c>
      <c r="C608" s="77" t="s">
        <v>645</v>
      </c>
      <c r="D608" s="78" t="s">
        <v>637</v>
      </c>
      <c r="E608" s="78" t="s">
        <v>730</v>
      </c>
      <c r="F608" s="77"/>
      <c r="G608" s="79">
        <f>G609</f>
        <v>6712500</v>
      </c>
      <c r="H608" s="79">
        <f>H609</f>
        <v>-6712500</v>
      </c>
      <c r="I608" s="79">
        <f t="shared" si="29"/>
        <v>0</v>
      </c>
    </row>
    <row r="609" spans="2:9" ht="12.75">
      <c r="B609" s="88" t="s">
        <v>768</v>
      </c>
      <c r="C609" s="77" t="s">
        <v>645</v>
      </c>
      <c r="D609" s="78" t="s">
        <v>637</v>
      </c>
      <c r="E609" s="78" t="s">
        <v>730</v>
      </c>
      <c r="F609" s="77">
        <v>500</v>
      </c>
      <c r="G609" s="79">
        <v>6712500</v>
      </c>
      <c r="H609" s="79">
        <v>-6712500</v>
      </c>
      <c r="I609" s="79">
        <f t="shared" si="29"/>
        <v>0</v>
      </c>
    </row>
    <row r="610" spans="2:9" ht="24">
      <c r="B610" s="88" t="s">
        <v>1161</v>
      </c>
      <c r="C610" s="77" t="s">
        <v>645</v>
      </c>
      <c r="D610" s="78" t="s">
        <v>637</v>
      </c>
      <c r="E610" s="78" t="s">
        <v>1162</v>
      </c>
      <c r="F610" s="77"/>
      <c r="G610" s="79">
        <f aca="true" t="shared" si="31" ref="G610:H612">G611</f>
        <v>0</v>
      </c>
      <c r="H610" s="79">
        <f t="shared" si="31"/>
        <v>23770600</v>
      </c>
      <c r="I610" s="79">
        <f t="shared" si="29"/>
        <v>23770600</v>
      </c>
    </row>
    <row r="611" spans="2:9" ht="24">
      <c r="B611" s="88" t="s">
        <v>1296</v>
      </c>
      <c r="C611" s="77" t="s">
        <v>645</v>
      </c>
      <c r="D611" s="78" t="s">
        <v>637</v>
      </c>
      <c r="E611" s="78" t="s">
        <v>1297</v>
      </c>
      <c r="F611" s="77"/>
      <c r="G611" s="79">
        <f t="shared" si="31"/>
        <v>0</v>
      </c>
      <c r="H611" s="79">
        <f t="shared" si="31"/>
        <v>23770600</v>
      </c>
      <c r="I611" s="79">
        <f t="shared" si="29"/>
        <v>23770600</v>
      </c>
    </row>
    <row r="612" spans="2:9" ht="36">
      <c r="B612" s="88" t="s">
        <v>1298</v>
      </c>
      <c r="C612" s="77" t="s">
        <v>645</v>
      </c>
      <c r="D612" s="78" t="s">
        <v>637</v>
      </c>
      <c r="E612" s="78" t="s">
        <v>1299</v>
      </c>
      <c r="F612" s="77"/>
      <c r="G612" s="79">
        <f t="shared" si="31"/>
        <v>0</v>
      </c>
      <c r="H612" s="79">
        <f t="shared" si="31"/>
        <v>23770600</v>
      </c>
      <c r="I612" s="79">
        <f t="shared" si="29"/>
        <v>23770600</v>
      </c>
    </row>
    <row r="613" spans="2:9" ht="24">
      <c r="B613" s="88" t="s">
        <v>1303</v>
      </c>
      <c r="C613" s="77" t="s">
        <v>645</v>
      </c>
      <c r="D613" s="78" t="s">
        <v>637</v>
      </c>
      <c r="E613" s="78" t="s">
        <v>1304</v>
      </c>
      <c r="F613" s="77"/>
      <c r="G613" s="79">
        <f>G614+G616</f>
        <v>0</v>
      </c>
      <c r="H613" s="79">
        <f>H614+H616</f>
        <v>23770600</v>
      </c>
      <c r="I613" s="79">
        <f t="shared" si="29"/>
        <v>23770600</v>
      </c>
    </row>
    <row r="614" spans="2:9" ht="24">
      <c r="B614" s="88" t="s">
        <v>905</v>
      </c>
      <c r="C614" s="77" t="s">
        <v>645</v>
      </c>
      <c r="D614" s="78" t="s">
        <v>637</v>
      </c>
      <c r="E614" s="78" t="s">
        <v>1305</v>
      </c>
      <c r="F614" s="77"/>
      <c r="G614" s="79">
        <f>G615</f>
        <v>0</v>
      </c>
      <c r="H614" s="79">
        <f>H615</f>
        <v>17093700</v>
      </c>
      <c r="I614" s="79">
        <f t="shared" si="29"/>
        <v>17093700</v>
      </c>
    </row>
    <row r="615" spans="2:9" ht="12.75">
      <c r="B615" s="88" t="s">
        <v>768</v>
      </c>
      <c r="C615" s="77" t="s">
        <v>645</v>
      </c>
      <c r="D615" s="78" t="s">
        <v>637</v>
      </c>
      <c r="E615" s="78" t="s">
        <v>1305</v>
      </c>
      <c r="F615" s="77" t="s">
        <v>413</v>
      </c>
      <c r="G615" s="79"/>
      <c r="H615" s="79">
        <f>2548870+1702440+1798620+1531950+1154380+2028630+1662950+2808450+1857410</f>
        <v>17093700</v>
      </c>
      <c r="I615" s="79">
        <f t="shared" si="29"/>
        <v>17093700</v>
      </c>
    </row>
    <row r="616" spans="2:9" ht="24">
      <c r="B616" s="88" t="s">
        <v>906</v>
      </c>
      <c r="C616" s="77" t="s">
        <v>645</v>
      </c>
      <c r="D616" s="78" t="s">
        <v>637</v>
      </c>
      <c r="E616" s="78" t="s">
        <v>1306</v>
      </c>
      <c r="F616" s="77"/>
      <c r="G616" s="79">
        <f>G617</f>
        <v>0</v>
      </c>
      <c r="H616" s="79">
        <f>H617</f>
        <v>6676900</v>
      </c>
      <c r="I616" s="79">
        <f t="shared" si="29"/>
        <v>6676900</v>
      </c>
    </row>
    <row r="617" spans="2:9" ht="12.75">
      <c r="B617" s="88" t="s">
        <v>768</v>
      </c>
      <c r="C617" s="77" t="s">
        <v>645</v>
      </c>
      <c r="D617" s="78" t="s">
        <v>637</v>
      </c>
      <c r="E617" s="78" t="s">
        <v>1306</v>
      </c>
      <c r="F617" s="77" t="s">
        <v>413</v>
      </c>
      <c r="G617" s="79"/>
      <c r="H617" s="79">
        <f>627660+980190+339540+459060+868040+820220+559060+1517700+505430</f>
        <v>6676900</v>
      </c>
      <c r="I617" s="79">
        <f t="shared" si="29"/>
        <v>6676900</v>
      </c>
    </row>
    <row r="618" spans="2:10" s="133" customFormat="1" ht="12.75">
      <c r="B618" s="127" t="s">
        <v>994</v>
      </c>
      <c r="C618" s="117" t="s">
        <v>645</v>
      </c>
      <c r="D618" s="117" t="s">
        <v>639</v>
      </c>
      <c r="E618" s="128"/>
      <c r="F618" s="117"/>
      <c r="G618" s="129">
        <f aca="true" t="shared" si="32" ref="G618:H620">G619</f>
        <v>0</v>
      </c>
      <c r="H618" s="129">
        <f t="shared" si="32"/>
        <v>11404521</v>
      </c>
      <c r="I618" s="129">
        <f t="shared" si="29"/>
        <v>11404521</v>
      </c>
      <c r="J618" s="135"/>
    </row>
    <row r="619" spans="2:9" ht="36">
      <c r="B619" s="88" t="s">
        <v>1410</v>
      </c>
      <c r="C619" s="77" t="s">
        <v>645</v>
      </c>
      <c r="D619" s="77" t="s">
        <v>639</v>
      </c>
      <c r="E619" s="78" t="s">
        <v>1162</v>
      </c>
      <c r="F619" s="77"/>
      <c r="G619" s="79">
        <f t="shared" si="32"/>
        <v>0</v>
      </c>
      <c r="H619" s="79">
        <f t="shared" si="32"/>
        <v>11404521</v>
      </c>
      <c r="I619" s="79">
        <f t="shared" si="29"/>
        <v>11404521</v>
      </c>
    </row>
    <row r="620" spans="2:9" ht="24">
      <c r="B620" s="88" t="s">
        <v>1296</v>
      </c>
      <c r="C620" s="77" t="s">
        <v>645</v>
      </c>
      <c r="D620" s="77" t="s">
        <v>639</v>
      </c>
      <c r="E620" s="78" t="s">
        <v>1297</v>
      </c>
      <c r="F620" s="77"/>
      <c r="G620" s="79">
        <f t="shared" si="32"/>
        <v>0</v>
      </c>
      <c r="H620" s="79">
        <f t="shared" si="32"/>
        <v>11404521</v>
      </c>
      <c r="I620" s="79">
        <f t="shared" si="29"/>
        <v>11404521</v>
      </c>
    </row>
    <row r="621" spans="2:9" ht="36">
      <c r="B621" s="88" t="s">
        <v>1298</v>
      </c>
      <c r="C621" s="77" t="s">
        <v>645</v>
      </c>
      <c r="D621" s="77" t="s">
        <v>639</v>
      </c>
      <c r="E621" s="78" t="s">
        <v>1299</v>
      </c>
      <c r="F621" s="77"/>
      <c r="G621" s="79">
        <f>G622+G625</f>
        <v>0</v>
      </c>
      <c r="H621" s="79">
        <f>H622+H625</f>
        <v>11404521</v>
      </c>
      <c r="I621" s="79">
        <f t="shared" si="29"/>
        <v>11404521</v>
      </c>
    </row>
    <row r="622" spans="2:9" ht="24">
      <c r="B622" s="88" t="s">
        <v>1303</v>
      </c>
      <c r="C622" s="77" t="s">
        <v>645</v>
      </c>
      <c r="D622" s="77" t="s">
        <v>639</v>
      </c>
      <c r="E622" s="78" t="s">
        <v>1304</v>
      </c>
      <c r="F622" s="77"/>
      <c r="G622" s="79">
        <f>G623</f>
        <v>0</v>
      </c>
      <c r="H622" s="79">
        <f>H623</f>
        <v>10878900</v>
      </c>
      <c r="I622" s="79">
        <f t="shared" si="29"/>
        <v>10878900</v>
      </c>
    </row>
    <row r="623" spans="2:9" ht="22.5">
      <c r="B623" s="88" t="s">
        <v>611</v>
      </c>
      <c r="C623" s="77" t="s">
        <v>645</v>
      </c>
      <c r="D623" s="77" t="s">
        <v>639</v>
      </c>
      <c r="E623" s="78" t="s">
        <v>1411</v>
      </c>
      <c r="F623" s="77"/>
      <c r="G623" s="79">
        <f>G624</f>
        <v>0</v>
      </c>
      <c r="H623" s="79">
        <f>H624</f>
        <v>10878900</v>
      </c>
      <c r="I623" s="79">
        <f t="shared" si="29"/>
        <v>10878900</v>
      </c>
    </row>
    <row r="624" spans="2:9" ht="22.5">
      <c r="B624" s="88" t="s">
        <v>768</v>
      </c>
      <c r="C624" s="77" t="s">
        <v>645</v>
      </c>
      <c r="D624" s="77" t="s">
        <v>639</v>
      </c>
      <c r="E624" s="78" t="s">
        <v>1411</v>
      </c>
      <c r="F624" s="77" t="s">
        <v>413</v>
      </c>
      <c r="G624" s="79">
        <v>0</v>
      </c>
      <c r="H624" s="79">
        <f>9918900+960000</f>
        <v>10878900</v>
      </c>
      <c r="I624" s="79">
        <f t="shared" si="29"/>
        <v>10878900</v>
      </c>
    </row>
    <row r="625" spans="2:9" ht="36">
      <c r="B625" s="88" t="s">
        <v>1412</v>
      </c>
      <c r="C625" s="77" t="s">
        <v>645</v>
      </c>
      <c r="D625" s="77" t="s">
        <v>639</v>
      </c>
      <c r="E625" s="78" t="s">
        <v>1413</v>
      </c>
      <c r="F625" s="77"/>
      <c r="G625" s="79">
        <f>G626</f>
        <v>0</v>
      </c>
      <c r="H625" s="79">
        <f>H626</f>
        <v>525621</v>
      </c>
      <c r="I625" s="79">
        <f t="shared" si="29"/>
        <v>525621</v>
      </c>
    </row>
    <row r="626" spans="2:9" ht="12.75">
      <c r="B626" s="88" t="s">
        <v>768</v>
      </c>
      <c r="C626" s="77" t="s">
        <v>645</v>
      </c>
      <c r="D626" s="77" t="s">
        <v>639</v>
      </c>
      <c r="E626" s="78" t="s">
        <v>1413</v>
      </c>
      <c r="F626" s="77" t="s">
        <v>413</v>
      </c>
      <c r="G626" s="79">
        <v>0</v>
      </c>
      <c r="H626" s="79">
        <v>525621</v>
      </c>
      <c r="I626" s="79">
        <f t="shared" si="29"/>
        <v>525621</v>
      </c>
    </row>
    <row r="627" spans="2:9" ht="12.75">
      <c r="B627" s="88" t="s">
        <v>1052</v>
      </c>
      <c r="C627" s="77" t="s">
        <v>1053</v>
      </c>
      <c r="D627" s="77" t="s">
        <v>1053</v>
      </c>
      <c r="E627" s="77" t="s">
        <v>1055</v>
      </c>
      <c r="F627" s="77" t="s">
        <v>1054</v>
      </c>
      <c r="G627" s="79">
        <v>6062037</v>
      </c>
      <c r="H627" s="79">
        <v>-6062037</v>
      </c>
      <c r="I627" s="79">
        <f>G627+H627</f>
        <v>0</v>
      </c>
    </row>
    <row r="628" spans="2:9" ht="12.75">
      <c r="B628" s="151" t="s">
        <v>636</v>
      </c>
      <c r="C628" s="152"/>
      <c r="D628" s="152"/>
      <c r="E628" s="152"/>
      <c r="F628" s="153"/>
      <c r="G628" s="76">
        <f>G16+G174+G179+G199+G287+G310+G489+G534+G570+G578+G595+G602+G627</f>
        <v>640716142.84</v>
      </c>
      <c r="H628" s="76">
        <f>H16+H174+H179+H199+H287+H310+H489+H534+H570+H578+H595+H602+H627</f>
        <v>263256746.52999997</v>
      </c>
      <c r="I628" s="76">
        <f>I16+I174+I179+I199+I287+I310+I489+I534+I570+I578+I595+I602+I627</f>
        <v>903972889.37</v>
      </c>
    </row>
    <row r="629" spans="7:9" ht="12.75">
      <c r="G629" s="73"/>
      <c r="H629" s="73"/>
      <c r="I629" s="73"/>
    </row>
    <row r="630" spans="7:9" ht="12.75" hidden="1">
      <c r="G630" s="91">
        <v>640716142.84</v>
      </c>
      <c r="H630" s="91"/>
      <c r="I630" s="91">
        <f>903972868.37+21</f>
        <v>903972889.37</v>
      </c>
    </row>
    <row r="631" spans="7:9" ht="12.75" hidden="1">
      <c r="G631" s="91"/>
      <c r="H631" s="91"/>
      <c r="I631" s="91"/>
    </row>
    <row r="632" spans="7:9" ht="12.75" hidden="1">
      <c r="G632" s="91">
        <f>G630-G628</f>
        <v>0</v>
      </c>
      <c r="H632" s="91"/>
      <c r="I632" s="91">
        <f>I630-I628</f>
        <v>0</v>
      </c>
    </row>
    <row r="633" spans="7:9" ht="12.75" hidden="1">
      <c r="G633" s="91"/>
      <c r="H633" s="91"/>
      <c r="I633" s="91"/>
    </row>
    <row r="634" spans="7:9" ht="12.75" hidden="1">
      <c r="G634" s="91"/>
      <c r="H634" s="91"/>
      <c r="I634" s="91"/>
    </row>
    <row r="656" spans="1:3" ht="12.75">
      <c r="A656" s="82"/>
      <c r="C656" s="81"/>
    </row>
    <row r="657" spans="1:3" ht="12.75">
      <c r="A657" s="82"/>
      <c r="C657" s="81"/>
    </row>
    <row r="658" spans="1:3" ht="12.75">
      <c r="A658" s="82"/>
      <c r="C658" s="81"/>
    </row>
    <row r="659" ht="12.75">
      <c r="A659" s="83"/>
    </row>
    <row r="660" ht="12.75">
      <c r="A660" s="84"/>
    </row>
    <row r="661" ht="12.75">
      <c r="A661" s="84"/>
    </row>
    <row r="662" ht="12.75">
      <c r="A662" s="84"/>
    </row>
    <row r="663" ht="12.75">
      <c r="A663" s="84"/>
    </row>
    <row r="664" ht="12.75">
      <c r="A664" s="84"/>
    </row>
    <row r="665" ht="12.75">
      <c r="A665" s="84"/>
    </row>
    <row r="666" ht="12.75">
      <c r="A666" s="84"/>
    </row>
    <row r="667" ht="12.75">
      <c r="A667" s="85"/>
    </row>
    <row r="668" ht="12.75">
      <c r="A668" s="85"/>
    </row>
    <row r="669" ht="12.75">
      <c r="A669" s="85"/>
    </row>
    <row r="670" ht="12.75">
      <c r="A670" s="85"/>
    </row>
    <row r="671" ht="12.75">
      <c r="A671" s="85"/>
    </row>
    <row r="672" ht="12.75">
      <c r="A672" s="85"/>
    </row>
    <row r="673" ht="12.75">
      <c r="A673" s="84"/>
    </row>
    <row r="674" ht="12.75">
      <c r="A674" s="84"/>
    </row>
    <row r="675" ht="12.75">
      <c r="A675" s="85"/>
    </row>
    <row r="676" ht="12.75">
      <c r="A676" s="85"/>
    </row>
    <row r="677" ht="12.75">
      <c r="A677" s="84"/>
    </row>
    <row r="678" ht="12.75">
      <c r="A678" s="85"/>
    </row>
    <row r="679" ht="12.75">
      <c r="A679" s="85"/>
    </row>
    <row r="680" ht="12.75">
      <c r="A680" s="85"/>
    </row>
    <row r="681" ht="12.75">
      <c r="A681" s="85"/>
    </row>
    <row r="682" ht="12.75">
      <c r="A682" s="85"/>
    </row>
    <row r="683" ht="12.75">
      <c r="A683" s="85"/>
    </row>
    <row r="684" ht="12.75">
      <c r="A684" s="85"/>
    </row>
    <row r="685" ht="12.75">
      <c r="A685" s="85"/>
    </row>
    <row r="686" ht="12.75">
      <c r="A686" s="85"/>
    </row>
    <row r="687" ht="12.75">
      <c r="A687" s="85"/>
    </row>
    <row r="688" ht="12.75">
      <c r="A688" s="85"/>
    </row>
    <row r="689" ht="12.75">
      <c r="A689" s="85"/>
    </row>
    <row r="690" ht="12.75">
      <c r="A690" s="85"/>
    </row>
    <row r="691" ht="12.75">
      <c r="A691" s="85"/>
    </row>
    <row r="692" ht="12.75">
      <c r="A692" s="85"/>
    </row>
    <row r="693" ht="12.75">
      <c r="A693" s="85"/>
    </row>
    <row r="694" ht="12.75">
      <c r="A694" s="84"/>
    </row>
    <row r="695" ht="12.75">
      <c r="A695" s="84"/>
    </row>
    <row r="696" ht="12.75">
      <c r="A696" s="85"/>
    </row>
    <row r="697" ht="12.75">
      <c r="A697" s="85"/>
    </row>
    <row r="698" ht="12.75">
      <c r="A698" s="85"/>
    </row>
    <row r="699" ht="12.75">
      <c r="A699" s="84"/>
    </row>
    <row r="700" ht="12.75">
      <c r="A700" s="84"/>
    </row>
    <row r="701" ht="12.75">
      <c r="A701" s="85"/>
    </row>
    <row r="702" ht="12.75">
      <c r="A702" s="85"/>
    </row>
    <row r="703" ht="12.75">
      <c r="A703" s="85"/>
    </row>
    <row r="704" ht="12.75">
      <c r="A704" s="85"/>
    </row>
    <row r="705" ht="12.75">
      <c r="A705" s="85"/>
    </row>
    <row r="706" ht="12.75">
      <c r="A706" s="85"/>
    </row>
    <row r="707" ht="12.75">
      <c r="A707" s="85"/>
    </row>
    <row r="708" ht="12.75">
      <c r="A708" s="85"/>
    </row>
    <row r="709" ht="12.75">
      <c r="A709" s="85"/>
    </row>
    <row r="710" ht="12.75">
      <c r="A710" s="85"/>
    </row>
    <row r="711" ht="12.75">
      <c r="A711" s="85"/>
    </row>
    <row r="712" ht="12.75">
      <c r="A712" s="85"/>
    </row>
    <row r="713" ht="12.75">
      <c r="A713" s="85"/>
    </row>
    <row r="714" ht="12.75">
      <c r="A714" s="85"/>
    </row>
    <row r="715" ht="12.75">
      <c r="A715" s="85"/>
    </row>
    <row r="716" ht="12.75">
      <c r="A716" s="85"/>
    </row>
    <row r="717" ht="12.75">
      <c r="A717" s="85"/>
    </row>
    <row r="718" ht="12.75">
      <c r="A718" s="85"/>
    </row>
    <row r="719" ht="12.75">
      <c r="A719" s="84"/>
    </row>
    <row r="720" ht="12.75">
      <c r="A720" s="84"/>
    </row>
    <row r="721" ht="12.75">
      <c r="A721" s="84"/>
    </row>
    <row r="722" ht="12.75">
      <c r="A722" s="84"/>
    </row>
    <row r="723" ht="12.75">
      <c r="A723" s="84"/>
    </row>
    <row r="724" ht="12.75">
      <c r="A724" s="85"/>
    </row>
    <row r="725" ht="12.75">
      <c r="A725" s="85"/>
    </row>
    <row r="726" ht="12.75">
      <c r="A726" s="85"/>
    </row>
    <row r="727" ht="12.75">
      <c r="A727" s="85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4"/>
    </row>
    <row r="734" ht="12.75">
      <c r="A734" s="84"/>
    </row>
    <row r="735" ht="12.75">
      <c r="A735" s="85"/>
    </row>
    <row r="736" ht="12.75">
      <c r="A736" s="84"/>
    </row>
    <row r="737" ht="12.75">
      <c r="A737" s="84"/>
    </row>
    <row r="738" ht="12.75">
      <c r="A738" s="84"/>
    </row>
    <row r="739" ht="12.75">
      <c r="A739" s="84"/>
    </row>
    <row r="740" ht="12.75">
      <c r="A740" s="84"/>
    </row>
    <row r="741" ht="12.75">
      <c r="A741" s="84"/>
    </row>
    <row r="742" ht="12.75">
      <c r="A742" s="84"/>
    </row>
    <row r="743" ht="12.75">
      <c r="A743" s="84"/>
    </row>
    <row r="744" ht="12.75">
      <c r="A744" s="84"/>
    </row>
    <row r="745" ht="12.75">
      <c r="A745" s="84"/>
    </row>
    <row r="746" ht="12.75">
      <c r="A746" s="84"/>
    </row>
    <row r="747" ht="12.75">
      <c r="A747" s="84"/>
    </row>
    <row r="748" ht="12.75">
      <c r="A748" s="84"/>
    </row>
    <row r="749" ht="12.75">
      <c r="A749" s="84"/>
    </row>
    <row r="750" ht="12.75">
      <c r="A750" s="84"/>
    </row>
    <row r="751" ht="12.75">
      <c r="A751" s="84"/>
    </row>
    <row r="752" ht="12.75">
      <c r="A752" s="84"/>
    </row>
    <row r="753" ht="12.75">
      <c r="A753" s="85"/>
    </row>
    <row r="754" ht="12.75">
      <c r="A754" s="85"/>
    </row>
    <row r="755" ht="12.75">
      <c r="A755" s="85"/>
    </row>
    <row r="756" ht="12.75">
      <c r="A756" s="84"/>
    </row>
    <row r="757" ht="12.75">
      <c r="A757" s="84"/>
    </row>
    <row r="758" ht="12.75">
      <c r="A758" s="85"/>
    </row>
    <row r="759" ht="12.75">
      <c r="A759" s="85"/>
    </row>
    <row r="760" ht="12.75">
      <c r="A760" s="85"/>
    </row>
    <row r="761" ht="12.75">
      <c r="A761" s="84"/>
    </row>
    <row r="762" ht="12.75">
      <c r="A762" s="84"/>
    </row>
    <row r="763" ht="12.75">
      <c r="A763" s="85"/>
    </row>
    <row r="764" ht="12.75">
      <c r="A764" s="84"/>
    </row>
    <row r="765" ht="12.75">
      <c r="A765" s="84"/>
    </row>
    <row r="766" ht="12.75">
      <c r="A766" s="85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2"/>
    </row>
    <row r="857" ht="12.75">
      <c r="A857" s="82"/>
    </row>
    <row r="858" ht="12.75">
      <c r="A858" s="82"/>
    </row>
    <row r="859" ht="12.75">
      <c r="A859" s="82"/>
    </row>
    <row r="860" ht="12.75">
      <c r="A860" s="82"/>
    </row>
    <row r="861" ht="12.75">
      <c r="A861" s="82"/>
    </row>
    <row r="862" ht="12.75">
      <c r="A862" s="82"/>
    </row>
    <row r="863" ht="12.75">
      <c r="A863" s="82"/>
    </row>
    <row r="864" ht="12.75">
      <c r="A864" s="82"/>
    </row>
    <row r="865" ht="12.75">
      <c r="A865" s="82"/>
    </row>
    <row r="866" ht="12.75">
      <c r="A866" s="82"/>
    </row>
    <row r="867" ht="12.75">
      <c r="A867" s="82"/>
    </row>
    <row r="868" ht="12.75">
      <c r="A868" s="82"/>
    </row>
    <row r="869" ht="12.75">
      <c r="A869" s="82"/>
    </row>
    <row r="870" ht="12.75">
      <c r="A870" s="82"/>
    </row>
    <row r="871" ht="12.75">
      <c r="A871" s="82"/>
    </row>
    <row r="872" ht="12.75">
      <c r="A872" s="82"/>
    </row>
    <row r="873" ht="12.75">
      <c r="A873" s="82"/>
    </row>
    <row r="874" ht="12.75">
      <c r="A874" s="82"/>
    </row>
    <row r="875" ht="12.75">
      <c r="A875" s="82"/>
    </row>
    <row r="876" ht="12.75">
      <c r="A876" s="82"/>
    </row>
    <row r="877" ht="12.75">
      <c r="A877" s="82"/>
    </row>
    <row r="878" ht="12.75">
      <c r="A878" s="82"/>
    </row>
    <row r="879" ht="12.75">
      <c r="A879" s="82"/>
    </row>
    <row r="880" ht="12.75">
      <c r="A880" s="82"/>
    </row>
    <row r="881" ht="12.75">
      <c r="A881" s="82"/>
    </row>
    <row r="882" ht="12.75">
      <c r="A882" s="82"/>
    </row>
    <row r="883" ht="12.75">
      <c r="A883" s="82"/>
    </row>
    <row r="884" ht="12.75">
      <c r="A884" s="82"/>
    </row>
    <row r="885" ht="12.75">
      <c r="A885" s="82"/>
    </row>
    <row r="886" ht="12.75">
      <c r="A886" s="82"/>
    </row>
    <row r="887" ht="12.75">
      <c r="A887" s="82"/>
    </row>
    <row r="888" ht="12.75">
      <c r="A888" s="82"/>
    </row>
    <row r="889" ht="12.75">
      <c r="A889" s="82"/>
    </row>
    <row r="890" ht="12.75">
      <c r="A890" s="82"/>
    </row>
    <row r="891" ht="12.75">
      <c r="A891" s="82"/>
    </row>
    <row r="892" ht="12.75">
      <c r="A892" s="82"/>
    </row>
    <row r="893" ht="12.75">
      <c r="A893" s="82"/>
    </row>
    <row r="894" ht="12.75">
      <c r="A894" s="82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ht="12.75">
      <c r="A918" s="80"/>
    </row>
    <row r="919" ht="12.75">
      <c r="A919" s="80"/>
    </row>
    <row r="920" ht="12.75">
      <c r="A920" s="80"/>
    </row>
    <row r="921" ht="12.75">
      <c r="A921" s="80"/>
    </row>
    <row r="922" ht="12.75">
      <c r="A922" s="80"/>
    </row>
    <row r="923" ht="12.75">
      <c r="A923" s="80"/>
    </row>
    <row r="924" ht="12.75">
      <c r="A924" s="80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spans="1:3" ht="12.75">
      <c r="A989" s="82"/>
      <c r="C989" s="81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spans="1:3" ht="12.75">
      <c r="A995" s="82"/>
      <c r="C995" s="81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6"/>
    </row>
    <row r="1062" ht="12.75">
      <c r="A1062" s="80"/>
    </row>
    <row r="1063" ht="12.75">
      <c r="A1063" s="80"/>
    </row>
    <row r="1064" ht="12.75">
      <c r="A1064" s="80"/>
    </row>
    <row r="1065" spans="7:10" s="80" customFormat="1" ht="12.75">
      <c r="G1065" s="67"/>
      <c r="H1065" s="67"/>
      <c r="I1065" s="67"/>
      <c r="J1065" s="67"/>
    </row>
    <row r="1066" spans="7:10" s="80" customFormat="1" ht="12.75">
      <c r="G1066" s="67"/>
      <c r="H1066" s="67"/>
      <c r="I1066" s="67"/>
      <c r="J1066" s="67"/>
    </row>
    <row r="1067" spans="7:10" s="80" customFormat="1" ht="12.75">
      <c r="G1067" s="67"/>
      <c r="H1067" s="67"/>
      <c r="I1067" s="67"/>
      <c r="J1067" s="67"/>
    </row>
    <row r="1068" spans="7:10" s="80" customFormat="1" ht="12.75">
      <c r="G1068" s="67"/>
      <c r="H1068" s="67"/>
      <c r="I1068" s="67"/>
      <c r="J1068" s="67"/>
    </row>
    <row r="1069" spans="7:10" s="80" customFormat="1" ht="12.75">
      <c r="G1069" s="67"/>
      <c r="H1069" s="67"/>
      <c r="I1069" s="67"/>
      <c r="J1069" s="67"/>
    </row>
    <row r="1070" spans="7:10" s="80" customFormat="1" ht="12.75">
      <c r="G1070" s="67"/>
      <c r="H1070" s="67"/>
      <c r="I1070" s="67"/>
      <c r="J1070" s="67"/>
    </row>
    <row r="1071" spans="7:10" s="80" customFormat="1" ht="12.75">
      <c r="G1071" s="67"/>
      <c r="H1071" s="67"/>
      <c r="I1071" s="67"/>
      <c r="J1071" s="67"/>
    </row>
    <row r="1072" spans="7:10" s="80" customFormat="1" ht="12.75">
      <c r="G1072" s="67"/>
      <c r="H1072" s="67"/>
      <c r="I1072" s="67"/>
      <c r="J1072" s="67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3">
    <mergeCell ref="D3:I3"/>
    <mergeCell ref="D2:I2"/>
    <mergeCell ref="D1:I1"/>
    <mergeCell ref="C4:I4"/>
    <mergeCell ref="C5:I5"/>
    <mergeCell ref="C8:I8"/>
    <mergeCell ref="C10:I10"/>
    <mergeCell ref="B628:F628"/>
    <mergeCell ref="C7:I7"/>
    <mergeCell ref="C9:I9"/>
    <mergeCell ref="G11:H11"/>
    <mergeCell ref="B12:H12"/>
    <mergeCell ref="B13:H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1"/>
  <sheetViews>
    <sheetView tabSelected="1" view="pageBreakPreview" zoomScaleSheetLayoutView="100" zoomScalePageLayoutView="0" workbookViewId="0" topLeftCell="A7">
      <selection activeCell="H633" sqref="H633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9.75390625" style="73" customWidth="1"/>
    <col min="5" max="5" width="14.25390625" style="73" customWidth="1"/>
    <col min="6" max="6" width="9.00390625" style="73" customWidth="1"/>
    <col min="7" max="7" width="18.625" style="64" hidden="1" customWidth="1"/>
    <col min="8" max="8" width="15.875" style="73" customWidth="1"/>
    <col min="9" max="9" width="13.375" style="64" customWidth="1"/>
    <col min="10" max="10" width="14.875" style="64" customWidth="1"/>
    <col min="11" max="11" width="14.75390625" style="73" hidden="1" customWidth="1"/>
    <col min="12" max="12" width="17.375" style="73" hidden="1" customWidth="1"/>
    <col min="13" max="16384" width="9.125" style="73" customWidth="1"/>
  </cols>
  <sheetData>
    <row r="1" spans="2:12" s="64" customFormat="1" ht="15.75" customHeight="1" hidden="1">
      <c r="B1" s="89"/>
      <c r="C1" s="89"/>
      <c r="D1" s="89"/>
      <c r="E1" s="89"/>
      <c r="F1" s="149" t="s">
        <v>358</v>
      </c>
      <c r="G1" s="149"/>
      <c r="H1" s="149"/>
      <c r="I1" s="149"/>
      <c r="J1" s="149"/>
      <c r="K1" s="149"/>
      <c r="L1" s="149"/>
    </row>
    <row r="2" spans="2:12" s="64" customFormat="1" ht="15.75" customHeight="1" hidden="1">
      <c r="B2" s="89"/>
      <c r="C2" s="89"/>
      <c r="D2" s="89"/>
      <c r="E2" s="89"/>
      <c r="F2" s="149" t="s">
        <v>1000</v>
      </c>
      <c r="G2" s="149"/>
      <c r="H2" s="149"/>
      <c r="I2" s="149"/>
      <c r="J2" s="149"/>
      <c r="K2" s="149"/>
      <c r="L2" s="149"/>
    </row>
    <row r="3" spans="2:12" s="64" customFormat="1" ht="16.5" customHeight="1" hidden="1">
      <c r="B3" s="89"/>
      <c r="C3" s="89"/>
      <c r="D3" s="89"/>
      <c r="E3" s="89"/>
      <c r="F3" s="149" t="s">
        <v>1001</v>
      </c>
      <c r="G3" s="149"/>
      <c r="H3" s="149"/>
      <c r="I3" s="149"/>
      <c r="J3" s="149"/>
      <c r="K3" s="149"/>
      <c r="L3" s="149"/>
    </row>
    <row r="4" spans="2:12" s="64" customFormat="1" ht="15.75" customHeight="1" hidden="1">
      <c r="B4" s="89"/>
      <c r="C4" s="89"/>
      <c r="D4" s="89"/>
      <c r="E4" s="89"/>
      <c r="F4" s="119" t="s">
        <v>1078</v>
      </c>
      <c r="G4" s="148" t="s">
        <v>1153</v>
      </c>
      <c r="H4" s="148"/>
      <c r="I4" s="148"/>
      <c r="J4" s="148"/>
      <c r="K4" s="148"/>
      <c r="L4" s="148"/>
    </row>
    <row r="5" spans="2:12" s="64" customFormat="1" ht="14.25" customHeight="1" hidden="1">
      <c r="B5" s="89"/>
      <c r="C5" s="89"/>
      <c r="D5" s="89"/>
      <c r="E5" s="89"/>
      <c r="F5" s="119"/>
      <c r="G5" s="148" t="s">
        <v>1154</v>
      </c>
      <c r="H5" s="148"/>
      <c r="I5" s="148"/>
      <c r="J5" s="148"/>
      <c r="K5" s="148"/>
      <c r="L5" s="148"/>
    </row>
    <row r="6" spans="2:12" s="64" customFormat="1" ht="12" customHeight="1" hidden="1">
      <c r="B6" s="89"/>
      <c r="C6" s="89"/>
      <c r="D6" s="89"/>
      <c r="E6" s="89"/>
      <c r="F6" s="119"/>
      <c r="G6" s="119"/>
      <c r="H6" s="119"/>
      <c r="I6" s="119"/>
      <c r="J6" s="119"/>
      <c r="K6" s="89"/>
      <c r="L6" s="89"/>
    </row>
    <row r="7" spans="1:12" ht="12" customHeight="1">
      <c r="A7" s="118"/>
      <c r="B7" s="118"/>
      <c r="C7" s="118"/>
      <c r="D7" s="87"/>
      <c r="E7" s="149" t="s">
        <v>1309</v>
      </c>
      <c r="F7" s="149"/>
      <c r="G7" s="149"/>
      <c r="H7" s="149"/>
      <c r="I7" s="149"/>
      <c r="J7" s="149"/>
      <c r="K7" s="149"/>
      <c r="L7" s="149"/>
    </row>
    <row r="8" spans="1:12" ht="12" customHeight="1">
      <c r="A8" s="118"/>
      <c r="B8" s="118"/>
      <c r="C8" s="118"/>
      <c r="D8" s="149" t="s">
        <v>1133</v>
      </c>
      <c r="E8" s="149"/>
      <c r="F8" s="149"/>
      <c r="G8" s="149"/>
      <c r="H8" s="149"/>
      <c r="I8" s="149"/>
      <c r="J8" s="149"/>
      <c r="K8" s="149"/>
      <c r="L8" s="149"/>
    </row>
    <row r="9" spans="1:12" ht="12" customHeight="1">
      <c r="A9" s="118"/>
      <c r="B9" s="118"/>
      <c r="C9" s="118"/>
      <c r="D9" s="118"/>
      <c r="E9" s="149" t="s">
        <v>1150</v>
      </c>
      <c r="F9" s="149"/>
      <c r="G9" s="149"/>
      <c r="H9" s="149"/>
      <c r="I9" s="149"/>
      <c r="J9" s="149"/>
      <c r="K9" s="149"/>
      <c r="L9" s="149"/>
    </row>
    <row r="10" spans="1:12" ht="14.25" customHeight="1">
      <c r="A10" s="118"/>
      <c r="B10" s="150" t="s">
        <v>1155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2:12" ht="60" customHeight="1">
      <c r="B11" s="154" t="s">
        <v>1156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8" ht="18.75" hidden="1">
      <c r="A12" s="74"/>
      <c r="B12" s="155" t="s">
        <v>966</v>
      </c>
      <c r="C12" s="155"/>
      <c r="D12" s="155"/>
      <c r="E12" s="155"/>
      <c r="F12" s="155"/>
      <c r="G12" s="155"/>
      <c r="H12" s="120"/>
    </row>
    <row r="13" spans="2:15" ht="49.5" customHeight="1">
      <c r="B13" s="125" t="s">
        <v>631</v>
      </c>
      <c r="C13" s="117" t="s">
        <v>632</v>
      </c>
      <c r="D13" s="117" t="s">
        <v>633</v>
      </c>
      <c r="E13" s="117" t="s">
        <v>634</v>
      </c>
      <c r="F13" s="117" t="s">
        <v>635</v>
      </c>
      <c r="G13" s="117" t="s">
        <v>1127</v>
      </c>
      <c r="H13" s="117" t="s">
        <v>1125</v>
      </c>
      <c r="I13" s="117" t="s">
        <v>1126</v>
      </c>
      <c r="J13" s="117" t="s">
        <v>1157</v>
      </c>
      <c r="K13" s="63" t="s">
        <v>1158</v>
      </c>
      <c r="L13" s="63" t="s">
        <v>1159</v>
      </c>
      <c r="M13" s="92"/>
      <c r="N13" s="92"/>
      <c r="O13" s="92"/>
    </row>
    <row r="14" spans="2:15" ht="12.75">
      <c r="B14" s="75" t="s">
        <v>401</v>
      </c>
      <c r="C14" s="75" t="s">
        <v>402</v>
      </c>
      <c r="D14" s="75" t="s">
        <v>403</v>
      </c>
      <c r="E14" s="75" t="s">
        <v>404</v>
      </c>
      <c r="F14" s="75" t="s">
        <v>405</v>
      </c>
      <c r="G14" s="75"/>
      <c r="H14" s="75" t="s">
        <v>406</v>
      </c>
      <c r="I14" s="75" t="s">
        <v>56</v>
      </c>
      <c r="J14" s="75" t="s">
        <v>80</v>
      </c>
      <c r="K14" s="75" t="s">
        <v>80</v>
      </c>
      <c r="L14" s="75" t="s">
        <v>392</v>
      </c>
      <c r="M14" s="93"/>
      <c r="N14" s="93"/>
      <c r="O14" s="93"/>
    </row>
    <row r="15" spans="2:15" ht="12.75">
      <c r="B15" s="130" t="s">
        <v>949</v>
      </c>
      <c r="C15" s="117" t="s">
        <v>637</v>
      </c>
      <c r="D15" s="128"/>
      <c r="E15" s="128"/>
      <c r="F15" s="117"/>
      <c r="G15" s="129">
        <f>G16+G23+G45+G74+G114+G118+G122+G78</f>
        <v>37470942</v>
      </c>
      <c r="H15" s="129">
        <f>H16+H23+H45+H74+H114+H118+H122+H78</f>
        <v>3548300</v>
      </c>
      <c r="I15" s="129">
        <f aca="true" t="shared" si="0" ref="I15:I44">G15+H15</f>
        <v>41019242</v>
      </c>
      <c r="J15" s="129">
        <f>J16+J23+J45+J74+J114+J118+J122+J78</f>
        <v>40975342</v>
      </c>
      <c r="K15" s="79">
        <f>K16+K21+K34+K55+K59+K80+K84+K88</f>
        <v>0</v>
      </c>
      <c r="L15" s="71">
        <f aca="true" t="shared" si="1" ref="L15:L78">J15+K15</f>
        <v>40975342</v>
      </c>
      <c r="M15" s="95"/>
      <c r="N15" s="95"/>
      <c r="O15" s="95"/>
    </row>
    <row r="16" spans="2:15" ht="25.5">
      <c r="B16" s="130" t="s">
        <v>410</v>
      </c>
      <c r="C16" s="117" t="s">
        <v>637</v>
      </c>
      <c r="D16" s="128" t="s">
        <v>638</v>
      </c>
      <c r="E16" s="128"/>
      <c r="F16" s="117"/>
      <c r="G16" s="129">
        <f>G17</f>
        <v>1403636</v>
      </c>
      <c r="H16" s="129">
        <f>H17</f>
        <v>15544</v>
      </c>
      <c r="I16" s="129">
        <f t="shared" si="0"/>
        <v>1419180</v>
      </c>
      <c r="J16" s="12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12.75">
      <c r="B17" s="131" t="s">
        <v>807</v>
      </c>
      <c r="C17" s="77" t="s">
        <v>637</v>
      </c>
      <c r="D17" s="78" t="s">
        <v>638</v>
      </c>
      <c r="E17" s="78" t="s">
        <v>783</v>
      </c>
      <c r="F17" s="77"/>
      <c r="G17" s="79">
        <f>G18</f>
        <v>1403636</v>
      </c>
      <c r="H17" s="79">
        <f>H18</f>
        <v>15544</v>
      </c>
      <c r="I17" s="79">
        <f t="shared" si="0"/>
        <v>1419180</v>
      </c>
      <c r="J17" s="79">
        <f>J18</f>
        <v>1419180</v>
      </c>
      <c r="K17" s="79">
        <f>K18</f>
        <v>0</v>
      </c>
      <c r="L17" s="71">
        <f t="shared" si="1"/>
        <v>1419180</v>
      </c>
      <c r="M17" s="95"/>
      <c r="N17" s="95"/>
      <c r="O17" s="95"/>
    </row>
    <row r="18" spans="2:15" ht="25.5">
      <c r="B18" s="131" t="s">
        <v>808</v>
      </c>
      <c r="C18" s="77" t="s">
        <v>637</v>
      </c>
      <c r="D18" s="78" t="s">
        <v>638</v>
      </c>
      <c r="E18" s="78" t="s">
        <v>782</v>
      </c>
      <c r="F18" s="77"/>
      <c r="G18" s="79">
        <f>G19+G21</f>
        <v>1403636</v>
      </c>
      <c r="H18" s="79">
        <f>H19+H21</f>
        <v>15544</v>
      </c>
      <c r="I18" s="79">
        <f t="shared" si="0"/>
        <v>1419180</v>
      </c>
      <c r="J18" s="79">
        <f>J19+J21</f>
        <v>1419180</v>
      </c>
      <c r="K18" s="79">
        <f>K19</f>
        <v>0</v>
      </c>
      <c r="L18" s="71">
        <f t="shared" si="1"/>
        <v>1419180</v>
      </c>
      <c r="M18" s="95"/>
      <c r="N18" s="95"/>
      <c r="O18" s="95"/>
    </row>
    <row r="19" spans="2:15" ht="25.5">
      <c r="B19" s="131" t="s">
        <v>621</v>
      </c>
      <c r="C19" s="77" t="s">
        <v>637</v>
      </c>
      <c r="D19" s="78" t="s">
        <v>638</v>
      </c>
      <c r="E19" s="78" t="s">
        <v>657</v>
      </c>
      <c r="F19" s="77"/>
      <c r="G19" s="79">
        <f>G20</f>
        <v>1403636</v>
      </c>
      <c r="H19" s="79">
        <f>H20</f>
        <v>-1403636</v>
      </c>
      <c r="I19" s="79">
        <f t="shared" si="0"/>
        <v>0</v>
      </c>
      <c r="J19" s="79">
        <f>J20</f>
        <v>0</v>
      </c>
      <c r="K19" s="79">
        <f>K20</f>
        <v>0</v>
      </c>
      <c r="L19" s="71">
        <f t="shared" si="1"/>
        <v>0</v>
      </c>
      <c r="M19" s="95"/>
      <c r="N19" s="95"/>
      <c r="O19" s="95"/>
    </row>
    <row r="20" spans="2:15" ht="51">
      <c r="B20" s="131" t="s">
        <v>765</v>
      </c>
      <c r="C20" s="77" t="s">
        <v>637</v>
      </c>
      <c r="D20" s="78" t="s">
        <v>638</v>
      </c>
      <c r="E20" s="78" t="s">
        <v>657</v>
      </c>
      <c r="F20" s="77" t="s">
        <v>733</v>
      </c>
      <c r="G20" s="79">
        <v>1403636</v>
      </c>
      <c r="H20" s="79">
        <f>-1403636</f>
        <v>-1403636</v>
      </c>
      <c r="I20" s="79">
        <f t="shared" si="0"/>
        <v>0</v>
      </c>
      <c r="J20" s="79">
        <v>0</v>
      </c>
      <c r="K20" s="71">
        <v>0</v>
      </c>
      <c r="L20" s="71">
        <f t="shared" si="1"/>
        <v>0</v>
      </c>
      <c r="M20" s="95"/>
      <c r="N20" s="95"/>
      <c r="O20" s="95"/>
    </row>
    <row r="21" spans="2:15" ht="12.75">
      <c r="B21" s="88" t="s">
        <v>621</v>
      </c>
      <c r="C21" s="77" t="s">
        <v>637</v>
      </c>
      <c r="D21" s="78" t="s">
        <v>638</v>
      </c>
      <c r="E21" s="78" t="s">
        <v>1414</v>
      </c>
      <c r="F21" s="77"/>
      <c r="G21" s="79">
        <f>G22</f>
        <v>0</v>
      </c>
      <c r="H21" s="79">
        <f>H22</f>
        <v>1419180</v>
      </c>
      <c r="I21" s="79">
        <f t="shared" si="0"/>
        <v>1419180</v>
      </c>
      <c r="J21" s="79">
        <f>J22</f>
        <v>1419180</v>
      </c>
      <c r="K21" s="79">
        <f>K22</f>
        <v>0</v>
      </c>
      <c r="L21" s="71">
        <f t="shared" si="1"/>
        <v>1419180</v>
      </c>
      <c r="M21" s="95"/>
      <c r="N21" s="95"/>
      <c r="O21" s="95"/>
    </row>
    <row r="22" spans="2:15" ht="48">
      <c r="B22" s="88" t="s">
        <v>765</v>
      </c>
      <c r="C22" s="77" t="s">
        <v>637</v>
      </c>
      <c r="D22" s="78" t="s">
        <v>638</v>
      </c>
      <c r="E22" s="78" t="s">
        <v>1414</v>
      </c>
      <c r="F22" s="77" t="s">
        <v>733</v>
      </c>
      <c r="G22" s="79">
        <v>0</v>
      </c>
      <c r="H22" s="79">
        <f>1090000+329180</f>
        <v>1419180</v>
      </c>
      <c r="I22" s="79">
        <f t="shared" si="0"/>
        <v>1419180</v>
      </c>
      <c r="J22" s="79">
        <f>1090000+329180</f>
        <v>1419180</v>
      </c>
      <c r="K22" s="79">
        <f>K23</f>
        <v>0</v>
      </c>
      <c r="L22" s="71">
        <f t="shared" si="1"/>
        <v>1419180</v>
      </c>
      <c r="M22" s="95"/>
      <c r="N22" s="95"/>
      <c r="O22" s="95"/>
    </row>
    <row r="23" spans="2:15" ht="38.25">
      <c r="B23" s="130" t="s">
        <v>416</v>
      </c>
      <c r="C23" s="117" t="s">
        <v>637</v>
      </c>
      <c r="D23" s="128" t="s">
        <v>639</v>
      </c>
      <c r="E23" s="128"/>
      <c r="F23" s="117"/>
      <c r="G23" s="129">
        <f>G24</f>
        <v>1223463</v>
      </c>
      <c r="H23" s="129">
        <f>H24</f>
        <v>-383803</v>
      </c>
      <c r="I23" s="129">
        <f t="shared" si="0"/>
        <v>839660</v>
      </c>
      <c r="J23" s="129">
        <f>J24</f>
        <v>839660</v>
      </c>
      <c r="K23" s="79">
        <f>K24+K30+K32</f>
        <v>0</v>
      </c>
      <c r="L23" s="71">
        <f t="shared" si="1"/>
        <v>839660</v>
      </c>
      <c r="M23" s="95"/>
      <c r="N23" s="95"/>
      <c r="O23" s="95"/>
    </row>
    <row r="24" spans="2:15" ht="12.75">
      <c r="B24" s="131" t="s">
        <v>807</v>
      </c>
      <c r="C24" s="77" t="s">
        <v>637</v>
      </c>
      <c r="D24" s="78" t="s">
        <v>639</v>
      </c>
      <c r="E24" s="78" t="s">
        <v>783</v>
      </c>
      <c r="F24" s="77"/>
      <c r="G24" s="79">
        <f>G25</f>
        <v>1223463</v>
      </c>
      <c r="H24" s="79">
        <f>H25</f>
        <v>-383803</v>
      </c>
      <c r="I24" s="79">
        <f t="shared" si="0"/>
        <v>839660</v>
      </c>
      <c r="J24" s="79">
        <f>J25</f>
        <v>839660</v>
      </c>
      <c r="K24" s="79">
        <f>K27+K25</f>
        <v>0</v>
      </c>
      <c r="L24" s="71">
        <f t="shared" si="1"/>
        <v>839660</v>
      </c>
      <c r="M24" s="95"/>
      <c r="N24" s="95"/>
      <c r="O24" s="95"/>
    </row>
    <row r="25" spans="2:15" ht="25.5">
      <c r="B25" s="131" t="s">
        <v>1064</v>
      </c>
      <c r="C25" s="77" t="s">
        <v>637</v>
      </c>
      <c r="D25" s="78" t="s">
        <v>639</v>
      </c>
      <c r="E25" s="78" t="s">
        <v>784</v>
      </c>
      <c r="F25" s="77"/>
      <c r="G25" s="79">
        <f>G26+G32+G34+G36+G43</f>
        <v>1223463</v>
      </c>
      <c r="H25" s="79">
        <f>H26+H32+H34+H36+H43</f>
        <v>-383803</v>
      </c>
      <c r="I25" s="79">
        <f t="shared" si="0"/>
        <v>839660</v>
      </c>
      <c r="J25" s="79">
        <f>J26+J32+J34+J36+J43</f>
        <v>839660</v>
      </c>
      <c r="K25" s="79">
        <f>K26</f>
        <v>0</v>
      </c>
      <c r="L25" s="71">
        <f t="shared" si="1"/>
        <v>839660</v>
      </c>
      <c r="M25" s="95"/>
      <c r="N25" s="95"/>
      <c r="O25" s="95"/>
    </row>
    <row r="26" spans="2:15" ht="25.5">
      <c r="B26" s="131" t="s">
        <v>810</v>
      </c>
      <c r="C26" s="77" t="s">
        <v>637</v>
      </c>
      <c r="D26" s="78" t="s">
        <v>639</v>
      </c>
      <c r="E26" s="78" t="s">
        <v>731</v>
      </c>
      <c r="F26" s="77"/>
      <c r="G26" s="79">
        <f>G29+G27</f>
        <v>1223463</v>
      </c>
      <c r="H26" s="79">
        <f>H29+H27</f>
        <v>-1223463</v>
      </c>
      <c r="I26" s="79">
        <f t="shared" si="0"/>
        <v>0</v>
      </c>
      <c r="J26" s="79">
        <f>J29+J27</f>
        <v>0</v>
      </c>
      <c r="K26" s="71">
        <v>0</v>
      </c>
      <c r="L26" s="71">
        <f t="shared" si="1"/>
        <v>0</v>
      </c>
      <c r="M26" s="95"/>
      <c r="N26" s="95"/>
      <c r="O26" s="95"/>
    </row>
    <row r="27" spans="2:15" ht="25.5">
      <c r="B27" s="131" t="s">
        <v>1121</v>
      </c>
      <c r="C27" s="77" t="s">
        <v>637</v>
      </c>
      <c r="D27" s="78" t="s">
        <v>639</v>
      </c>
      <c r="E27" s="78" t="s">
        <v>1098</v>
      </c>
      <c r="F27" s="77"/>
      <c r="G27" s="79">
        <f>G28</f>
        <v>458141</v>
      </c>
      <c r="H27" s="79">
        <f>H28</f>
        <v>-458141</v>
      </c>
      <c r="I27" s="79">
        <f t="shared" si="0"/>
        <v>0</v>
      </c>
      <c r="J27" s="79">
        <f>J28</f>
        <v>0</v>
      </c>
      <c r="K27" s="79">
        <f>K28+K29</f>
        <v>0</v>
      </c>
      <c r="L27" s="71">
        <f t="shared" si="1"/>
        <v>0</v>
      </c>
      <c r="M27" s="95"/>
      <c r="N27" s="95"/>
      <c r="O27" s="95"/>
    </row>
    <row r="28" spans="2:15" ht="51">
      <c r="B28" s="131" t="s">
        <v>765</v>
      </c>
      <c r="C28" s="77" t="s">
        <v>637</v>
      </c>
      <c r="D28" s="78" t="s">
        <v>639</v>
      </c>
      <c r="E28" s="78" t="s">
        <v>1098</v>
      </c>
      <c r="F28" s="77" t="s">
        <v>733</v>
      </c>
      <c r="G28" s="79">
        <v>458141</v>
      </c>
      <c r="H28" s="79">
        <f>-458141</f>
        <v>-458141</v>
      </c>
      <c r="I28" s="79">
        <f t="shared" si="0"/>
        <v>0</v>
      </c>
      <c r="J28" s="79">
        <v>0</v>
      </c>
      <c r="K28" s="71">
        <v>0</v>
      </c>
      <c r="L28" s="71">
        <f t="shared" si="1"/>
        <v>0</v>
      </c>
      <c r="M28" s="95"/>
      <c r="N28" s="95"/>
      <c r="O28" s="95"/>
    </row>
    <row r="29" spans="2:15" ht="24" customHeight="1">
      <c r="B29" s="131" t="s">
        <v>812</v>
      </c>
      <c r="C29" s="77" t="s">
        <v>637</v>
      </c>
      <c r="D29" s="78" t="s">
        <v>639</v>
      </c>
      <c r="E29" s="78" t="s">
        <v>652</v>
      </c>
      <c r="F29" s="77"/>
      <c r="G29" s="79">
        <f>G30+G31</f>
        <v>765322</v>
      </c>
      <c r="H29" s="79">
        <f>H30+H31</f>
        <v>-765322</v>
      </c>
      <c r="I29" s="79">
        <f t="shared" si="0"/>
        <v>0</v>
      </c>
      <c r="J29" s="79">
        <f>J30+J31</f>
        <v>0</v>
      </c>
      <c r="K29" s="71">
        <v>0</v>
      </c>
      <c r="L29" s="71">
        <f t="shared" si="1"/>
        <v>0</v>
      </c>
      <c r="M29" s="95"/>
      <c r="N29" s="95"/>
      <c r="O29" s="95"/>
    </row>
    <row r="30" spans="2:15" ht="12.75" customHeight="1">
      <c r="B30" s="131" t="s">
        <v>765</v>
      </c>
      <c r="C30" s="77" t="s">
        <v>637</v>
      </c>
      <c r="D30" s="78" t="s">
        <v>639</v>
      </c>
      <c r="E30" s="78" t="s">
        <v>652</v>
      </c>
      <c r="F30" s="77">
        <v>100</v>
      </c>
      <c r="G30" s="79">
        <f>645722+119600</f>
        <v>765322</v>
      </c>
      <c r="H30" s="79">
        <f>-765322</f>
        <v>-765322</v>
      </c>
      <c r="I30" s="79">
        <f t="shared" si="0"/>
        <v>0</v>
      </c>
      <c r="J30" s="79">
        <v>0</v>
      </c>
      <c r="K30" s="79">
        <f>K31</f>
        <v>0</v>
      </c>
      <c r="L30" s="71">
        <f t="shared" si="1"/>
        <v>0</v>
      </c>
      <c r="M30" s="95"/>
      <c r="N30" s="95"/>
      <c r="O30" s="95"/>
    </row>
    <row r="31" spans="2:15" ht="48" customHeight="1" hidden="1">
      <c r="B31" s="131" t="s">
        <v>766</v>
      </c>
      <c r="C31" s="77" t="s">
        <v>637</v>
      </c>
      <c r="D31" s="78" t="s">
        <v>639</v>
      </c>
      <c r="E31" s="78" t="s">
        <v>652</v>
      </c>
      <c r="F31" s="77">
        <v>200</v>
      </c>
      <c r="G31" s="79">
        <v>0</v>
      </c>
      <c r="H31" s="79">
        <v>0</v>
      </c>
      <c r="I31" s="79">
        <f t="shared" si="0"/>
        <v>0</v>
      </c>
      <c r="J31" s="79"/>
      <c r="K31" s="71">
        <v>0</v>
      </c>
      <c r="L31" s="71">
        <f t="shared" si="1"/>
        <v>0</v>
      </c>
      <c r="M31" s="95"/>
      <c r="N31" s="95"/>
      <c r="O31" s="95"/>
    </row>
    <row r="32" spans="2:15" ht="12.75" customHeight="1" hidden="1">
      <c r="B32" s="131" t="s">
        <v>418</v>
      </c>
      <c r="C32" s="77" t="s">
        <v>637</v>
      </c>
      <c r="D32" s="78" t="s">
        <v>639</v>
      </c>
      <c r="E32" s="78" t="s">
        <v>650</v>
      </c>
      <c r="F32" s="77"/>
      <c r="G32" s="79">
        <f>G33</f>
        <v>0</v>
      </c>
      <c r="H32" s="79">
        <f>H33</f>
        <v>0</v>
      </c>
      <c r="I32" s="79">
        <f t="shared" si="0"/>
        <v>0</v>
      </c>
      <c r="J32" s="79">
        <f>J33</f>
        <v>0</v>
      </c>
      <c r="K32" s="79">
        <f>K33</f>
        <v>0</v>
      </c>
      <c r="L32" s="71">
        <f t="shared" si="1"/>
        <v>0</v>
      </c>
      <c r="M32" s="95"/>
      <c r="N32" s="95"/>
      <c r="O32" s="95"/>
    </row>
    <row r="33" spans="2:15" ht="48" customHeight="1" hidden="1">
      <c r="B33" s="131" t="s">
        <v>765</v>
      </c>
      <c r="C33" s="77" t="s">
        <v>637</v>
      </c>
      <c r="D33" s="78" t="s">
        <v>639</v>
      </c>
      <c r="E33" s="78" t="s">
        <v>650</v>
      </c>
      <c r="F33" s="77">
        <v>100</v>
      </c>
      <c r="G33" s="79">
        <v>0</v>
      </c>
      <c r="H33" s="79">
        <v>0</v>
      </c>
      <c r="I33" s="79">
        <f t="shared" si="0"/>
        <v>0</v>
      </c>
      <c r="J33" s="79"/>
      <c r="K33" s="71">
        <v>0</v>
      </c>
      <c r="L33" s="71">
        <f t="shared" si="1"/>
        <v>0</v>
      </c>
      <c r="M33" s="95"/>
      <c r="N33" s="95"/>
      <c r="O33" s="95"/>
    </row>
    <row r="34" spans="2:15" ht="25.5" hidden="1">
      <c r="B34" s="131" t="s">
        <v>420</v>
      </c>
      <c r="C34" s="77" t="s">
        <v>637</v>
      </c>
      <c r="D34" s="78" t="s">
        <v>639</v>
      </c>
      <c r="E34" s="78" t="s">
        <v>651</v>
      </c>
      <c r="F34" s="77"/>
      <c r="G34" s="79">
        <f>G35</f>
        <v>0</v>
      </c>
      <c r="H34" s="79">
        <f>H35</f>
        <v>0</v>
      </c>
      <c r="I34" s="79">
        <f t="shared" si="0"/>
        <v>0</v>
      </c>
      <c r="J34" s="79">
        <f>J35</f>
        <v>0</v>
      </c>
      <c r="K34" s="79">
        <f>K35</f>
        <v>0</v>
      </c>
      <c r="L34" s="105">
        <f t="shared" si="1"/>
        <v>0</v>
      </c>
      <c r="M34" s="95"/>
      <c r="N34" s="95"/>
      <c r="O34" s="95"/>
    </row>
    <row r="35" spans="2:15" ht="51" hidden="1">
      <c r="B35" s="131" t="s">
        <v>765</v>
      </c>
      <c r="C35" s="77" t="s">
        <v>637</v>
      </c>
      <c r="D35" s="78" t="s">
        <v>639</v>
      </c>
      <c r="E35" s="78" t="s">
        <v>651</v>
      </c>
      <c r="F35" s="77">
        <v>100</v>
      </c>
      <c r="G35" s="79">
        <v>0</v>
      </c>
      <c r="H35" s="79">
        <v>0</v>
      </c>
      <c r="I35" s="79">
        <f t="shared" si="0"/>
        <v>0</v>
      </c>
      <c r="J35" s="79"/>
      <c r="K35" s="79">
        <f>K36+K41+K44+K39</f>
        <v>0</v>
      </c>
      <c r="L35" s="105">
        <f t="shared" si="1"/>
        <v>0</v>
      </c>
      <c r="M35" s="95"/>
      <c r="N35" s="95"/>
      <c r="O35" s="95"/>
    </row>
    <row r="36" spans="2:15" s="64" customFormat="1" ht="36" customHeight="1">
      <c r="B36" s="88" t="s">
        <v>810</v>
      </c>
      <c r="C36" s="77" t="s">
        <v>637</v>
      </c>
      <c r="D36" s="78" t="s">
        <v>639</v>
      </c>
      <c r="E36" s="78" t="s">
        <v>1415</v>
      </c>
      <c r="F36" s="77"/>
      <c r="G36" s="79">
        <f>G37+G39</f>
        <v>0</v>
      </c>
      <c r="H36" s="79">
        <f>H37+H39</f>
        <v>839660</v>
      </c>
      <c r="I36" s="79">
        <f t="shared" si="0"/>
        <v>839660</v>
      </c>
      <c r="J36" s="79">
        <f>J37+J39</f>
        <v>839660</v>
      </c>
      <c r="K36" s="71">
        <f>K38+K37</f>
        <v>0</v>
      </c>
      <c r="L36" s="105">
        <f t="shared" si="1"/>
        <v>839660</v>
      </c>
      <c r="M36" s="95"/>
      <c r="N36" s="95"/>
      <c r="O36" s="95"/>
    </row>
    <row r="37" spans="2:15" s="64" customFormat="1" ht="48" customHeight="1">
      <c r="B37" s="88" t="s">
        <v>1121</v>
      </c>
      <c r="C37" s="77" t="s">
        <v>637</v>
      </c>
      <c r="D37" s="78" t="s">
        <v>639</v>
      </c>
      <c r="E37" s="78" t="s">
        <v>1416</v>
      </c>
      <c r="F37" s="77"/>
      <c r="G37" s="79">
        <f>G38</f>
        <v>0</v>
      </c>
      <c r="H37" s="79">
        <f>H38</f>
        <v>440080</v>
      </c>
      <c r="I37" s="79">
        <f t="shared" si="0"/>
        <v>440080</v>
      </c>
      <c r="J37" s="79">
        <f>J38</f>
        <v>440080</v>
      </c>
      <c r="K37" s="71">
        <v>0</v>
      </c>
      <c r="L37" s="105">
        <f t="shared" si="1"/>
        <v>440080</v>
      </c>
      <c r="M37" s="95"/>
      <c r="N37" s="95"/>
      <c r="O37" s="95"/>
    </row>
    <row r="38" spans="2:15" s="64" customFormat="1" ht="24" customHeight="1">
      <c r="B38" s="88" t="s">
        <v>765</v>
      </c>
      <c r="C38" s="77" t="s">
        <v>637</v>
      </c>
      <c r="D38" s="78" t="s">
        <v>639</v>
      </c>
      <c r="E38" s="78" t="s">
        <v>1416</v>
      </c>
      <c r="F38" s="77" t="s">
        <v>733</v>
      </c>
      <c r="G38" s="79"/>
      <c r="H38" s="79">
        <f>338000+102080</f>
        <v>440080</v>
      </c>
      <c r="I38" s="79">
        <f t="shared" si="0"/>
        <v>440080</v>
      </c>
      <c r="J38" s="79">
        <f>338000+102080</f>
        <v>440080</v>
      </c>
      <c r="K38" s="71">
        <v>0</v>
      </c>
      <c r="L38" s="105">
        <f t="shared" si="1"/>
        <v>440080</v>
      </c>
      <c r="M38" s="95"/>
      <c r="N38" s="95"/>
      <c r="O38" s="95"/>
    </row>
    <row r="39" spans="2:15" ht="12.75">
      <c r="B39" s="88" t="s">
        <v>812</v>
      </c>
      <c r="C39" s="77" t="s">
        <v>637</v>
      </c>
      <c r="D39" s="78" t="s">
        <v>639</v>
      </c>
      <c r="E39" s="78" t="s">
        <v>1417</v>
      </c>
      <c r="F39" s="77"/>
      <c r="G39" s="79">
        <f>G40+G41+G42</f>
        <v>0</v>
      </c>
      <c r="H39" s="79">
        <f>H40+H41+H42</f>
        <v>399580</v>
      </c>
      <c r="I39" s="79">
        <f t="shared" si="0"/>
        <v>399580</v>
      </c>
      <c r="J39" s="79">
        <f>J40+J41+J42</f>
        <v>399580</v>
      </c>
      <c r="K39" s="79">
        <f>K40</f>
        <v>0</v>
      </c>
      <c r="L39" s="105">
        <f t="shared" si="1"/>
        <v>399580</v>
      </c>
      <c r="M39" s="95"/>
      <c r="N39" s="95"/>
      <c r="O39" s="95"/>
    </row>
    <row r="40" spans="2:15" ht="48">
      <c r="B40" s="88" t="s">
        <v>765</v>
      </c>
      <c r="C40" s="77" t="s">
        <v>637</v>
      </c>
      <c r="D40" s="78" t="s">
        <v>639</v>
      </c>
      <c r="E40" s="78" t="s">
        <v>1417</v>
      </c>
      <c r="F40" s="77">
        <v>100</v>
      </c>
      <c r="G40" s="79"/>
      <c r="H40" s="79">
        <f>306900+92680</f>
        <v>399580</v>
      </c>
      <c r="I40" s="79">
        <f t="shared" si="0"/>
        <v>399580</v>
      </c>
      <c r="J40" s="79">
        <f>306900+92680</f>
        <v>399580</v>
      </c>
      <c r="K40" s="71">
        <v>0</v>
      </c>
      <c r="L40" s="105">
        <f t="shared" si="1"/>
        <v>399580</v>
      </c>
      <c r="M40" s="95"/>
      <c r="N40" s="95"/>
      <c r="O40" s="95"/>
    </row>
    <row r="41" spans="2:15" ht="24" hidden="1">
      <c r="B41" s="88" t="s">
        <v>766</v>
      </c>
      <c r="C41" s="77" t="s">
        <v>637</v>
      </c>
      <c r="D41" s="78" t="s">
        <v>639</v>
      </c>
      <c r="E41" s="78" t="s">
        <v>1417</v>
      </c>
      <c r="F41" s="77">
        <v>200</v>
      </c>
      <c r="G41" s="79"/>
      <c r="H41" s="79">
        <v>0</v>
      </c>
      <c r="I41" s="79">
        <f t="shared" si="0"/>
        <v>0</v>
      </c>
      <c r="J41" s="79">
        <v>0</v>
      </c>
      <c r="K41" s="79">
        <f>K42+K43</f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769</v>
      </c>
      <c r="C42" s="77" t="s">
        <v>637</v>
      </c>
      <c r="D42" s="78" t="s">
        <v>639</v>
      </c>
      <c r="E42" s="78" t="s">
        <v>1417</v>
      </c>
      <c r="F42" s="77" t="s">
        <v>967</v>
      </c>
      <c r="G42" s="79"/>
      <c r="H42" s="79">
        <v>0</v>
      </c>
      <c r="I42" s="79">
        <f t="shared" si="0"/>
        <v>0</v>
      </c>
      <c r="J42" s="79">
        <v>0</v>
      </c>
      <c r="K42" s="71">
        <v>0</v>
      </c>
      <c r="L42" s="105">
        <f t="shared" si="1"/>
        <v>0</v>
      </c>
      <c r="M42" s="95"/>
      <c r="N42" s="95"/>
      <c r="O42" s="95"/>
    </row>
    <row r="43" spans="2:15" ht="12.75" hidden="1">
      <c r="B43" s="88" t="s">
        <v>420</v>
      </c>
      <c r="C43" s="77" t="s">
        <v>637</v>
      </c>
      <c r="D43" s="78" t="s">
        <v>639</v>
      </c>
      <c r="E43" s="78" t="s">
        <v>1418</v>
      </c>
      <c r="F43" s="77"/>
      <c r="G43" s="79">
        <f>G44</f>
        <v>0</v>
      </c>
      <c r="H43" s="79">
        <f>H44</f>
        <v>0</v>
      </c>
      <c r="I43" s="79">
        <f t="shared" si="0"/>
        <v>0</v>
      </c>
      <c r="J43" s="79">
        <f>J44</f>
        <v>0</v>
      </c>
      <c r="K43" s="71">
        <v>0</v>
      </c>
      <c r="L43" s="105">
        <f t="shared" si="1"/>
        <v>0</v>
      </c>
      <c r="M43" s="95"/>
      <c r="N43" s="95"/>
      <c r="O43" s="95"/>
    </row>
    <row r="44" spans="2:15" ht="48" hidden="1">
      <c r="B44" s="88" t="s">
        <v>765</v>
      </c>
      <c r="C44" s="77" t="s">
        <v>637</v>
      </c>
      <c r="D44" s="78" t="s">
        <v>639</v>
      </c>
      <c r="E44" s="78" t="s">
        <v>1418</v>
      </c>
      <c r="F44" s="77">
        <v>100</v>
      </c>
      <c r="G44" s="79"/>
      <c r="H44" s="79">
        <v>0</v>
      </c>
      <c r="I44" s="79">
        <f t="shared" si="0"/>
        <v>0</v>
      </c>
      <c r="J44" s="79">
        <v>0</v>
      </c>
      <c r="K44" s="79">
        <f>K45+K52</f>
        <v>0</v>
      </c>
      <c r="L44" s="105">
        <f t="shared" si="1"/>
        <v>0</v>
      </c>
      <c r="M44" s="95"/>
      <c r="N44" s="95"/>
      <c r="O44" s="95"/>
    </row>
    <row r="45" spans="2:15" ht="38.25">
      <c r="B45" s="130" t="s">
        <v>422</v>
      </c>
      <c r="C45" s="117" t="s">
        <v>637</v>
      </c>
      <c r="D45" s="128" t="s">
        <v>640</v>
      </c>
      <c r="E45" s="128"/>
      <c r="F45" s="117"/>
      <c r="G45" s="129">
        <f>G46</f>
        <v>14633625</v>
      </c>
      <c r="H45" s="129">
        <f>H46</f>
        <v>2137259</v>
      </c>
      <c r="I45" s="129">
        <f aca="true" t="shared" si="2" ref="I45:I163">G45+H45</f>
        <v>16770884</v>
      </c>
      <c r="J45" s="129">
        <f>J46</f>
        <v>16770884</v>
      </c>
      <c r="K45" s="79">
        <f>K46+K48</f>
        <v>0</v>
      </c>
      <c r="L45" s="105">
        <f t="shared" si="1"/>
        <v>16770884</v>
      </c>
      <c r="M45" s="95"/>
      <c r="N45" s="95"/>
      <c r="O45" s="95"/>
    </row>
    <row r="46" spans="2:15" ht="12.75">
      <c r="B46" s="131" t="s">
        <v>807</v>
      </c>
      <c r="C46" s="77" t="s">
        <v>637</v>
      </c>
      <c r="D46" s="78" t="s">
        <v>640</v>
      </c>
      <c r="E46" s="78" t="s">
        <v>783</v>
      </c>
      <c r="F46" s="77"/>
      <c r="G46" s="79">
        <f>G47+G53+G56+G50</f>
        <v>14633625</v>
      </c>
      <c r="H46" s="79">
        <f>H47+H53+H56+H50</f>
        <v>2137259</v>
      </c>
      <c r="I46" s="79">
        <f t="shared" si="2"/>
        <v>16770884</v>
      </c>
      <c r="J46" s="79">
        <f>J47+J53+J56+J50</f>
        <v>16770884</v>
      </c>
      <c r="K46" s="79">
        <f>K47</f>
        <v>0</v>
      </c>
      <c r="L46" s="105">
        <f t="shared" si="1"/>
        <v>16770884</v>
      </c>
      <c r="M46" s="95"/>
      <c r="N46" s="95"/>
      <c r="O46" s="95"/>
    </row>
    <row r="47" spans="2:15" ht="38.25" customHeight="1" hidden="1">
      <c r="B47" s="131" t="s">
        <v>819</v>
      </c>
      <c r="C47" s="77" t="s">
        <v>637</v>
      </c>
      <c r="D47" s="78" t="s">
        <v>640</v>
      </c>
      <c r="E47" s="78" t="s">
        <v>653</v>
      </c>
      <c r="F47" s="77"/>
      <c r="G47" s="79">
        <f>G49+G48</f>
        <v>0</v>
      </c>
      <c r="H47" s="79">
        <f>H49+H48</f>
        <v>0</v>
      </c>
      <c r="I47" s="79">
        <f t="shared" si="2"/>
        <v>0</v>
      </c>
      <c r="J47" s="79">
        <f>J49+J48</f>
        <v>0</v>
      </c>
      <c r="K47" s="71">
        <v>0</v>
      </c>
      <c r="L47" s="105">
        <f t="shared" si="1"/>
        <v>0</v>
      </c>
      <c r="M47" s="95"/>
      <c r="N47" s="95"/>
      <c r="O47" s="95"/>
    </row>
    <row r="48" spans="2:15" ht="51" hidden="1">
      <c r="B48" s="131" t="s">
        <v>765</v>
      </c>
      <c r="C48" s="77" t="s">
        <v>637</v>
      </c>
      <c r="D48" s="78" t="s">
        <v>640</v>
      </c>
      <c r="E48" s="78" t="s">
        <v>653</v>
      </c>
      <c r="F48" s="77" t="s">
        <v>733</v>
      </c>
      <c r="G48" s="79"/>
      <c r="H48" s="79"/>
      <c r="I48" s="79">
        <f t="shared" si="2"/>
        <v>0</v>
      </c>
      <c r="J48" s="79"/>
      <c r="K48" s="79">
        <f>K49+K50+K51</f>
        <v>0</v>
      </c>
      <c r="L48" s="105">
        <f t="shared" si="1"/>
        <v>0</v>
      </c>
      <c r="M48" s="95"/>
      <c r="N48" s="95"/>
      <c r="O48" s="95"/>
    </row>
    <row r="49" spans="2:15" ht="25.5" hidden="1">
      <c r="B49" s="131" t="s">
        <v>766</v>
      </c>
      <c r="C49" s="77" t="s">
        <v>637</v>
      </c>
      <c r="D49" s="78" t="s">
        <v>640</v>
      </c>
      <c r="E49" s="78" t="s">
        <v>653</v>
      </c>
      <c r="F49" s="77">
        <v>200</v>
      </c>
      <c r="G49" s="79"/>
      <c r="H49" s="79"/>
      <c r="I49" s="79">
        <f t="shared" si="2"/>
        <v>0</v>
      </c>
      <c r="J49" s="79"/>
      <c r="K49" s="71">
        <v>0</v>
      </c>
      <c r="L49" s="105">
        <f t="shared" si="1"/>
        <v>0</v>
      </c>
      <c r="M49" s="95"/>
      <c r="N49" s="95"/>
      <c r="O49" s="95"/>
    </row>
    <row r="50" spans="2:15" ht="38.25">
      <c r="B50" s="131" t="s">
        <v>984</v>
      </c>
      <c r="C50" s="77" t="s">
        <v>637</v>
      </c>
      <c r="D50" s="78" t="s">
        <v>640</v>
      </c>
      <c r="E50" s="78" t="s">
        <v>699</v>
      </c>
      <c r="F50" s="77"/>
      <c r="G50" s="79">
        <f>G51+G52</f>
        <v>78300</v>
      </c>
      <c r="H50" s="79">
        <f>H51+H52</f>
        <v>10300</v>
      </c>
      <c r="I50" s="79">
        <f t="shared" si="2"/>
        <v>88600</v>
      </c>
      <c r="J50" s="79">
        <f>J51+J52</f>
        <v>88600</v>
      </c>
      <c r="K50" s="71">
        <v>0</v>
      </c>
      <c r="L50" s="105">
        <f t="shared" si="1"/>
        <v>88600</v>
      </c>
      <c r="M50" s="95"/>
      <c r="N50" s="95"/>
      <c r="O50" s="95"/>
    </row>
    <row r="51" spans="2:15" ht="51">
      <c r="B51" s="131" t="s">
        <v>765</v>
      </c>
      <c r="C51" s="77" t="s">
        <v>637</v>
      </c>
      <c r="D51" s="78" t="s">
        <v>640</v>
      </c>
      <c r="E51" s="78" t="s">
        <v>699</v>
      </c>
      <c r="F51" s="77" t="s">
        <v>733</v>
      </c>
      <c r="G51" s="79">
        <v>78300</v>
      </c>
      <c r="H51" s="79">
        <f>-78300+60780+18360</f>
        <v>840</v>
      </c>
      <c r="I51" s="79">
        <f t="shared" si="2"/>
        <v>79140</v>
      </c>
      <c r="J51" s="79">
        <f>60780+18360</f>
        <v>79140</v>
      </c>
      <c r="K51" s="71">
        <v>0</v>
      </c>
      <c r="L51" s="105">
        <f t="shared" si="1"/>
        <v>79140</v>
      </c>
      <c r="M51" s="95"/>
      <c r="N51" s="95"/>
      <c r="O51" s="95"/>
    </row>
    <row r="52" spans="2:15" ht="25.5">
      <c r="B52" s="131" t="s">
        <v>766</v>
      </c>
      <c r="C52" s="77" t="s">
        <v>637</v>
      </c>
      <c r="D52" s="78" t="s">
        <v>640</v>
      </c>
      <c r="E52" s="78" t="s">
        <v>699</v>
      </c>
      <c r="F52" s="77" t="s">
        <v>971</v>
      </c>
      <c r="G52" s="79">
        <v>0</v>
      </c>
      <c r="H52" s="79">
        <f>6000+3460</f>
        <v>9460</v>
      </c>
      <c r="I52" s="79">
        <f t="shared" si="2"/>
        <v>9460</v>
      </c>
      <c r="J52" s="79">
        <f>6000+3460</f>
        <v>9460</v>
      </c>
      <c r="K52" s="79">
        <f>K53+K54</f>
        <v>0</v>
      </c>
      <c r="L52" s="105">
        <f t="shared" si="1"/>
        <v>9460</v>
      </c>
      <c r="M52" s="95"/>
      <c r="N52" s="95"/>
      <c r="O52" s="95"/>
    </row>
    <row r="53" spans="2:15" ht="24" customHeight="1">
      <c r="B53" s="131" t="s">
        <v>622</v>
      </c>
      <c r="C53" s="77" t="s">
        <v>637</v>
      </c>
      <c r="D53" s="78" t="s">
        <v>640</v>
      </c>
      <c r="E53" s="78" t="s">
        <v>654</v>
      </c>
      <c r="F53" s="77"/>
      <c r="G53" s="79">
        <f>G54+G55</f>
        <v>899500</v>
      </c>
      <c r="H53" s="79">
        <f>H54+H55</f>
        <v>428500</v>
      </c>
      <c r="I53" s="79">
        <f t="shared" si="2"/>
        <v>1328000</v>
      </c>
      <c r="J53" s="79">
        <f>J54+J55</f>
        <v>1328000</v>
      </c>
      <c r="K53" s="71">
        <v>0</v>
      </c>
      <c r="L53" s="105">
        <f t="shared" si="1"/>
        <v>1328000</v>
      </c>
      <c r="M53" s="95"/>
      <c r="N53" s="95"/>
      <c r="O53" s="95"/>
    </row>
    <row r="54" spans="2:15" ht="48" customHeight="1">
      <c r="B54" s="131" t="s">
        <v>765</v>
      </c>
      <c r="C54" s="77" t="s">
        <v>637</v>
      </c>
      <c r="D54" s="78" t="s">
        <v>640</v>
      </c>
      <c r="E54" s="78" t="s">
        <v>654</v>
      </c>
      <c r="F54" s="77">
        <v>100</v>
      </c>
      <c r="G54" s="79">
        <f>846472+14100</f>
        <v>860572</v>
      </c>
      <c r="H54" s="79">
        <f>-860572+711130+47000+214770</f>
        <v>112328</v>
      </c>
      <c r="I54" s="79">
        <f t="shared" si="2"/>
        <v>972900</v>
      </c>
      <c r="J54" s="79">
        <f>711130+47000+214770</f>
        <v>972900</v>
      </c>
      <c r="K54" s="71">
        <v>0</v>
      </c>
      <c r="L54" s="105">
        <f t="shared" si="1"/>
        <v>972900</v>
      </c>
      <c r="M54" s="95"/>
      <c r="N54" s="95"/>
      <c r="O54" s="95"/>
    </row>
    <row r="55" spans="2:15" s="64" customFormat="1" ht="24" customHeight="1">
      <c r="B55" s="131" t="s">
        <v>766</v>
      </c>
      <c r="C55" s="77" t="s">
        <v>637</v>
      </c>
      <c r="D55" s="78" t="s">
        <v>640</v>
      </c>
      <c r="E55" s="78" t="s">
        <v>654</v>
      </c>
      <c r="F55" s="77">
        <v>200</v>
      </c>
      <c r="G55" s="79">
        <v>38928</v>
      </c>
      <c r="H55" s="79">
        <f>-38928+8400+309211+37489</f>
        <v>316172</v>
      </c>
      <c r="I55" s="79">
        <f t="shared" si="2"/>
        <v>355100</v>
      </c>
      <c r="J55" s="79">
        <f>8400+309211+37489</f>
        <v>355100</v>
      </c>
      <c r="K55" s="71">
        <f>K57</f>
        <v>0</v>
      </c>
      <c r="L55" s="105">
        <f t="shared" si="1"/>
        <v>355100</v>
      </c>
      <c r="M55" s="95"/>
      <c r="N55" s="95"/>
      <c r="O55" s="95"/>
    </row>
    <row r="56" spans="2:15" s="64" customFormat="1" ht="25.5">
      <c r="B56" s="131" t="s">
        <v>808</v>
      </c>
      <c r="C56" s="77" t="s">
        <v>637</v>
      </c>
      <c r="D56" s="78" t="s">
        <v>640</v>
      </c>
      <c r="E56" s="78" t="s">
        <v>782</v>
      </c>
      <c r="F56" s="77"/>
      <c r="G56" s="79">
        <f>G57+G64+G67</f>
        <v>13655825</v>
      </c>
      <c r="H56" s="79">
        <f>H57+H64+H67</f>
        <v>1698459</v>
      </c>
      <c r="I56" s="79">
        <f t="shared" si="2"/>
        <v>15354284</v>
      </c>
      <c r="J56" s="79">
        <f>J57+J64+J67</f>
        <v>15354284</v>
      </c>
      <c r="K56" s="71">
        <f>K57</f>
        <v>0</v>
      </c>
      <c r="L56" s="105">
        <f t="shared" si="1"/>
        <v>15354284</v>
      </c>
      <c r="M56" s="95"/>
      <c r="N56" s="95"/>
      <c r="O56" s="95"/>
    </row>
    <row r="57" spans="2:15" s="64" customFormat="1" ht="25.5">
      <c r="B57" s="131" t="s">
        <v>809</v>
      </c>
      <c r="C57" s="77" t="s">
        <v>637</v>
      </c>
      <c r="D57" s="78" t="s">
        <v>640</v>
      </c>
      <c r="E57" s="78" t="s">
        <v>732</v>
      </c>
      <c r="F57" s="77"/>
      <c r="G57" s="79">
        <f>G58+G60</f>
        <v>13655825</v>
      </c>
      <c r="H57" s="79">
        <f>H58+H60</f>
        <v>-13655825</v>
      </c>
      <c r="I57" s="79">
        <f t="shared" si="2"/>
        <v>0</v>
      </c>
      <c r="J57" s="79">
        <f>J58+J60</f>
        <v>0</v>
      </c>
      <c r="K57" s="71">
        <f>K58</f>
        <v>0</v>
      </c>
      <c r="L57" s="105">
        <f t="shared" si="1"/>
        <v>0</v>
      </c>
      <c r="M57" s="95"/>
      <c r="N57" s="95"/>
      <c r="O57" s="95"/>
    </row>
    <row r="58" spans="2:15" s="64" customFormat="1" ht="25.5">
      <c r="B58" s="131" t="s">
        <v>811</v>
      </c>
      <c r="C58" s="77" t="s">
        <v>637</v>
      </c>
      <c r="D58" s="78" t="s">
        <v>640</v>
      </c>
      <c r="E58" s="78" t="s">
        <v>656</v>
      </c>
      <c r="F58" s="77"/>
      <c r="G58" s="79">
        <f>G59</f>
        <v>10464700</v>
      </c>
      <c r="H58" s="79">
        <f>H59</f>
        <v>-10464700</v>
      </c>
      <c r="I58" s="79">
        <f t="shared" si="2"/>
        <v>0</v>
      </c>
      <c r="J58" s="79">
        <f>J59</f>
        <v>0</v>
      </c>
      <c r="K58" s="71">
        <v>0</v>
      </c>
      <c r="L58" s="105">
        <f t="shared" si="1"/>
        <v>0</v>
      </c>
      <c r="M58" s="95"/>
      <c r="N58" s="95"/>
      <c r="O58" s="95"/>
    </row>
    <row r="59" spans="2:15" ht="32.25" customHeight="1">
      <c r="B59" s="131" t="s">
        <v>765</v>
      </c>
      <c r="C59" s="77" t="s">
        <v>637</v>
      </c>
      <c r="D59" s="78" t="s">
        <v>640</v>
      </c>
      <c r="E59" s="78" t="s">
        <v>656</v>
      </c>
      <c r="F59" s="77">
        <v>100</v>
      </c>
      <c r="G59" s="79">
        <v>10464700</v>
      </c>
      <c r="H59" s="79">
        <f>-10464700</f>
        <v>-10464700</v>
      </c>
      <c r="I59" s="79">
        <f t="shared" si="2"/>
        <v>0</v>
      </c>
      <c r="J59" s="79">
        <v>0</v>
      </c>
      <c r="K59" s="79">
        <f>K71+K60+K63</f>
        <v>0</v>
      </c>
      <c r="L59" s="71">
        <f t="shared" si="1"/>
        <v>0</v>
      </c>
      <c r="M59" s="95"/>
      <c r="N59" s="95"/>
      <c r="O59" s="95"/>
    </row>
    <row r="60" spans="2:15" ht="25.5">
      <c r="B60" s="131" t="s">
        <v>813</v>
      </c>
      <c r="C60" s="77" t="s">
        <v>637</v>
      </c>
      <c r="D60" s="78" t="s">
        <v>640</v>
      </c>
      <c r="E60" s="78" t="s">
        <v>655</v>
      </c>
      <c r="F60" s="77"/>
      <c r="G60" s="79">
        <f>G61+G62+G63</f>
        <v>3191125</v>
      </c>
      <c r="H60" s="79">
        <f>H61+H62+H63</f>
        <v>-3191125</v>
      </c>
      <c r="I60" s="79">
        <f t="shared" si="2"/>
        <v>0</v>
      </c>
      <c r="J60" s="79">
        <f>J61+J62+J63</f>
        <v>0</v>
      </c>
      <c r="K60" s="79">
        <f>K61</f>
        <v>0</v>
      </c>
      <c r="L60" s="105">
        <f t="shared" si="1"/>
        <v>0</v>
      </c>
      <c r="M60" s="95"/>
      <c r="N60" s="95"/>
      <c r="O60" s="95"/>
    </row>
    <row r="61" spans="2:15" ht="24" customHeight="1">
      <c r="B61" s="131" t="s">
        <v>765</v>
      </c>
      <c r="C61" s="77" t="s">
        <v>637</v>
      </c>
      <c r="D61" s="78" t="s">
        <v>640</v>
      </c>
      <c r="E61" s="78" t="s">
        <v>655</v>
      </c>
      <c r="F61" s="77">
        <v>100</v>
      </c>
      <c r="G61" s="79">
        <v>3161125</v>
      </c>
      <c r="H61" s="79">
        <f>-3161125</f>
        <v>-3161125</v>
      </c>
      <c r="I61" s="79">
        <f t="shared" si="2"/>
        <v>0</v>
      </c>
      <c r="J61" s="79">
        <v>0</v>
      </c>
      <c r="K61" s="79">
        <f>K62</f>
        <v>0</v>
      </c>
      <c r="L61" s="105">
        <f t="shared" si="1"/>
        <v>0</v>
      </c>
      <c r="M61" s="95"/>
      <c r="N61" s="95"/>
      <c r="O61" s="95"/>
    </row>
    <row r="62" spans="2:15" ht="24" customHeight="1" hidden="1">
      <c r="B62" s="131" t="s">
        <v>766</v>
      </c>
      <c r="C62" s="77" t="s">
        <v>637</v>
      </c>
      <c r="D62" s="78" t="s">
        <v>640</v>
      </c>
      <c r="E62" s="78" t="s">
        <v>655</v>
      </c>
      <c r="F62" s="77">
        <v>200</v>
      </c>
      <c r="G62" s="79"/>
      <c r="H62" s="79">
        <v>0</v>
      </c>
      <c r="I62" s="79">
        <f t="shared" si="2"/>
        <v>0</v>
      </c>
      <c r="J62" s="79"/>
      <c r="K62" s="71">
        <v>0</v>
      </c>
      <c r="L62" s="105">
        <f t="shared" si="1"/>
        <v>0</v>
      </c>
      <c r="M62" s="95"/>
      <c r="N62" s="95"/>
      <c r="O62" s="95"/>
    </row>
    <row r="63" spans="2:15" ht="24" customHeight="1">
      <c r="B63" s="131" t="s">
        <v>769</v>
      </c>
      <c r="C63" s="77" t="s">
        <v>637</v>
      </c>
      <c r="D63" s="78" t="s">
        <v>640</v>
      </c>
      <c r="E63" s="78" t="s">
        <v>655</v>
      </c>
      <c r="F63" s="77">
        <v>800</v>
      </c>
      <c r="G63" s="79">
        <v>30000</v>
      </c>
      <c r="H63" s="79">
        <v>-30000</v>
      </c>
      <c r="I63" s="79">
        <f t="shared" si="2"/>
        <v>0</v>
      </c>
      <c r="J63" s="79">
        <v>0</v>
      </c>
      <c r="K63" s="79">
        <f>K64</f>
        <v>0</v>
      </c>
      <c r="L63" s="105">
        <f t="shared" si="1"/>
        <v>0</v>
      </c>
      <c r="M63" s="95"/>
      <c r="N63" s="95"/>
      <c r="O63" s="95"/>
    </row>
    <row r="64" spans="2:15" ht="25.5" hidden="1">
      <c r="B64" s="131" t="s">
        <v>624</v>
      </c>
      <c r="C64" s="77" t="s">
        <v>637</v>
      </c>
      <c r="D64" s="78" t="s">
        <v>640</v>
      </c>
      <c r="E64" s="78" t="s">
        <v>694</v>
      </c>
      <c r="F64" s="77"/>
      <c r="G64" s="79">
        <f>G65+G66</f>
        <v>0</v>
      </c>
      <c r="H64" s="79">
        <f>H65+H66</f>
        <v>0</v>
      </c>
      <c r="I64" s="79">
        <f t="shared" si="2"/>
        <v>0</v>
      </c>
      <c r="J64" s="79">
        <f>J65+J66</f>
        <v>0</v>
      </c>
      <c r="K64" s="79">
        <f>K65+K67</f>
        <v>0</v>
      </c>
      <c r="L64" s="105">
        <f t="shared" si="1"/>
        <v>0</v>
      </c>
      <c r="M64" s="95"/>
      <c r="N64" s="95"/>
      <c r="O64" s="95"/>
    </row>
    <row r="65" spans="2:15" ht="51" hidden="1">
      <c r="B65" s="131" t="s">
        <v>765</v>
      </c>
      <c r="C65" s="77" t="s">
        <v>637</v>
      </c>
      <c r="D65" s="78" t="s">
        <v>640</v>
      </c>
      <c r="E65" s="78" t="s">
        <v>694</v>
      </c>
      <c r="F65" s="77" t="s">
        <v>733</v>
      </c>
      <c r="G65" s="79">
        <v>0</v>
      </c>
      <c r="H65" s="79">
        <v>0</v>
      </c>
      <c r="I65" s="79">
        <f t="shared" si="2"/>
        <v>0</v>
      </c>
      <c r="J65" s="79"/>
      <c r="K65" s="79">
        <f>K66</f>
        <v>0</v>
      </c>
      <c r="L65" s="105">
        <f t="shared" si="1"/>
        <v>0</v>
      </c>
      <c r="M65" s="95"/>
      <c r="N65" s="95"/>
      <c r="O65" s="95"/>
    </row>
    <row r="66" spans="2:15" ht="25.5" hidden="1">
      <c r="B66" s="131" t="s">
        <v>766</v>
      </c>
      <c r="C66" s="77" t="s">
        <v>637</v>
      </c>
      <c r="D66" s="78" t="s">
        <v>640</v>
      </c>
      <c r="E66" s="78" t="s">
        <v>694</v>
      </c>
      <c r="F66" s="77" t="s">
        <v>971</v>
      </c>
      <c r="G66" s="79">
        <v>0</v>
      </c>
      <c r="H66" s="79">
        <v>0</v>
      </c>
      <c r="I66" s="79">
        <f t="shared" si="2"/>
        <v>0</v>
      </c>
      <c r="J66" s="79"/>
      <c r="K66" s="71">
        <v>0</v>
      </c>
      <c r="L66" s="105">
        <f t="shared" si="1"/>
        <v>0</v>
      </c>
      <c r="M66" s="95"/>
      <c r="N66" s="95"/>
      <c r="O66" s="95"/>
    </row>
    <row r="67" spans="2:15" ht="24">
      <c r="B67" s="88" t="s">
        <v>809</v>
      </c>
      <c r="C67" s="77" t="s">
        <v>637</v>
      </c>
      <c r="D67" s="78" t="s">
        <v>640</v>
      </c>
      <c r="E67" s="78" t="s">
        <v>1310</v>
      </c>
      <c r="F67" s="77"/>
      <c r="G67" s="79">
        <f>G68+G70</f>
        <v>0</v>
      </c>
      <c r="H67" s="79">
        <f>H68+H70</f>
        <v>15354284</v>
      </c>
      <c r="I67" s="79">
        <f t="shared" si="2"/>
        <v>15354284</v>
      </c>
      <c r="J67" s="79">
        <f>J68+J70</f>
        <v>15354284</v>
      </c>
      <c r="K67" s="79">
        <f>K68+K69+K70</f>
        <v>0</v>
      </c>
      <c r="L67" s="105">
        <f t="shared" si="1"/>
        <v>15354284</v>
      </c>
      <c r="M67" s="95"/>
      <c r="N67" s="95"/>
      <c r="O67" s="95"/>
    </row>
    <row r="68" spans="2:15" ht="24">
      <c r="B68" s="88" t="s">
        <v>811</v>
      </c>
      <c r="C68" s="77" t="s">
        <v>637</v>
      </c>
      <c r="D68" s="78" t="s">
        <v>640</v>
      </c>
      <c r="E68" s="78" t="s">
        <v>1311</v>
      </c>
      <c r="F68" s="77"/>
      <c r="G68" s="79">
        <f>G69</f>
        <v>0</v>
      </c>
      <c r="H68" s="79">
        <f>H69</f>
        <v>13944214</v>
      </c>
      <c r="I68" s="79">
        <f t="shared" si="2"/>
        <v>13944214</v>
      </c>
      <c r="J68" s="79">
        <f>J69</f>
        <v>13944214</v>
      </c>
      <c r="K68" s="71">
        <v>0</v>
      </c>
      <c r="L68" s="105">
        <f t="shared" si="1"/>
        <v>13944214</v>
      </c>
      <c r="M68" s="95"/>
      <c r="N68" s="95"/>
      <c r="O68" s="95"/>
    </row>
    <row r="69" spans="2:15" ht="48">
      <c r="B69" s="88" t="s">
        <v>765</v>
      </c>
      <c r="C69" s="77" t="s">
        <v>637</v>
      </c>
      <c r="D69" s="78" t="s">
        <v>640</v>
      </c>
      <c r="E69" s="78" t="s">
        <v>1311</v>
      </c>
      <c r="F69" s="77">
        <v>100</v>
      </c>
      <c r="G69" s="79">
        <v>0</v>
      </c>
      <c r="H69" s="79">
        <f>10692200+3252014</f>
        <v>13944214</v>
      </c>
      <c r="I69" s="79">
        <f t="shared" si="2"/>
        <v>13944214</v>
      </c>
      <c r="J69" s="79">
        <f>10692200+3252014</f>
        <v>13944214</v>
      </c>
      <c r="K69" s="71">
        <v>0</v>
      </c>
      <c r="L69" s="105">
        <f t="shared" si="1"/>
        <v>13944214</v>
      </c>
      <c r="M69" s="95"/>
      <c r="N69" s="95"/>
      <c r="O69" s="95"/>
    </row>
    <row r="70" spans="2:15" ht="24" customHeight="1">
      <c r="B70" s="88" t="s">
        <v>813</v>
      </c>
      <c r="C70" s="77" t="s">
        <v>637</v>
      </c>
      <c r="D70" s="78" t="s">
        <v>640</v>
      </c>
      <c r="E70" s="78" t="s">
        <v>1312</v>
      </c>
      <c r="F70" s="77"/>
      <c r="G70" s="79">
        <f>G71+G72+G73</f>
        <v>0</v>
      </c>
      <c r="H70" s="79">
        <f>H71+H72+H73</f>
        <v>1410070</v>
      </c>
      <c r="I70" s="79">
        <f t="shared" si="2"/>
        <v>1410070</v>
      </c>
      <c r="J70" s="79">
        <f>J71+J72+J73</f>
        <v>1410070</v>
      </c>
      <c r="K70" s="71">
        <v>0</v>
      </c>
      <c r="L70" s="105">
        <f t="shared" si="1"/>
        <v>1410070</v>
      </c>
      <c r="M70" s="95"/>
      <c r="N70" s="95"/>
      <c r="O70" s="95"/>
    </row>
    <row r="71" spans="2:15" ht="22.5" customHeight="1">
      <c r="B71" s="88" t="s">
        <v>765</v>
      </c>
      <c r="C71" s="77" t="s">
        <v>637</v>
      </c>
      <c r="D71" s="78" t="s">
        <v>640</v>
      </c>
      <c r="E71" s="78" t="s">
        <v>1312</v>
      </c>
      <c r="F71" s="77">
        <v>100</v>
      </c>
      <c r="G71" s="79">
        <v>0</v>
      </c>
      <c r="H71" s="79">
        <f>1083000+327070</f>
        <v>1410070</v>
      </c>
      <c r="I71" s="79">
        <f t="shared" si="2"/>
        <v>1410070</v>
      </c>
      <c r="J71" s="79">
        <f>1083000+327070</f>
        <v>1410070</v>
      </c>
      <c r="K71" s="79">
        <f>K72</f>
        <v>0</v>
      </c>
      <c r="L71" s="105">
        <f t="shared" si="1"/>
        <v>1410070</v>
      </c>
      <c r="M71" s="95"/>
      <c r="N71" s="95"/>
      <c r="O71" s="95"/>
    </row>
    <row r="72" spans="2:15" ht="30" customHeight="1" hidden="1">
      <c r="B72" s="88" t="s">
        <v>766</v>
      </c>
      <c r="C72" s="77" t="s">
        <v>637</v>
      </c>
      <c r="D72" s="78" t="s">
        <v>640</v>
      </c>
      <c r="E72" s="78" t="s">
        <v>1312</v>
      </c>
      <c r="F72" s="77">
        <v>200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f>K73</f>
        <v>0</v>
      </c>
      <c r="L72" s="105">
        <f t="shared" si="1"/>
        <v>0</v>
      </c>
      <c r="M72" s="95"/>
      <c r="N72" s="95"/>
      <c r="O72" s="95"/>
    </row>
    <row r="73" spans="2:15" ht="34.5" customHeight="1" hidden="1">
      <c r="B73" s="88" t="s">
        <v>769</v>
      </c>
      <c r="C73" s="77" t="s">
        <v>637</v>
      </c>
      <c r="D73" s="78" t="s">
        <v>640</v>
      </c>
      <c r="E73" s="78" t="s">
        <v>1312</v>
      </c>
      <c r="F73" s="77">
        <v>800</v>
      </c>
      <c r="G73" s="79">
        <v>0</v>
      </c>
      <c r="H73" s="79">
        <v>0</v>
      </c>
      <c r="I73" s="79">
        <f t="shared" si="2"/>
        <v>0</v>
      </c>
      <c r="J73" s="79">
        <v>0</v>
      </c>
      <c r="K73" s="79">
        <f>K77+K74</f>
        <v>0</v>
      </c>
      <c r="L73" s="105">
        <f t="shared" si="1"/>
        <v>0</v>
      </c>
      <c r="M73" s="95"/>
      <c r="N73" s="95"/>
      <c r="O73" s="95"/>
    </row>
    <row r="74" spans="2:15" ht="22.5" customHeight="1">
      <c r="B74" s="130" t="s">
        <v>284</v>
      </c>
      <c r="C74" s="117" t="s">
        <v>637</v>
      </c>
      <c r="D74" s="128" t="s">
        <v>646</v>
      </c>
      <c r="E74" s="128"/>
      <c r="F74" s="117"/>
      <c r="G74" s="129">
        <f>G76</f>
        <v>13600</v>
      </c>
      <c r="H74" s="129">
        <f>H76</f>
        <v>-2700</v>
      </c>
      <c r="I74" s="129">
        <f t="shared" si="2"/>
        <v>10900</v>
      </c>
      <c r="J74" s="129">
        <f>J76</f>
        <v>11400</v>
      </c>
      <c r="K74" s="79">
        <f>K75+K76</f>
        <v>0</v>
      </c>
      <c r="L74" s="105">
        <f t="shared" si="1"/>
        <v>11400</v>
      </c>
      <c r="M74" s="95"/>
      <c r="N74" s="95"/>
      <c r="O74" s="95"/>
    </row>
    <row r="75" spans="2:15" ht="21.75" customHeight="1">
      <c r="B75" s="131" t="s">
        <v>807</v>
      </c>
      <c r="C75" s="77" t="s">
        <v>637</v>
      </c>
      <c r="D75" s="78" t="s">
        <v>646</v>
      </c>
      <c r="E75" s="78" t="s">
        <v>783</v>
      </c>
      <c r="F75" s="77"/>
      <c r="G75" s="79">
        <f>G76</f>
        <v>13600</v>
      </c>
      <c r="H75" s="79">
        <f>H76</f>
        <v>-2700</v>
      </c>
      <c r="I75" s="79">
        <f t="shared" si="2"/>
        <v>10900</v>
      </c>
      <c r="J75" s="79">
        <f>J76</f>
        <v>11400</v>
      </c>
      <c r="K75" s="71">
        <v>0</v>
      </c>
      <c r="L75" s="105">
        <f t="shared" si="1"/>
        <v>11400</v>
      </c>
      <c r="M75" s="95"/>
      <c r="N75" s="95"/>
      <c r="O75" s="95"/>
    </row>
    <row r="76" spans="2:15" ht="46.5" customHeight="1">
      <c r="B76" s="131" t="s">
        <v>816</v>
      </c>
      <c r="C76" s="77" t="s">
        <v>637</v>
      </c>
      <c r="D76" s="78" t="s">
        <v>646</v>
      </c>
      <c r="E76" s="78" t="s">
        <v>658</v>
      </c>
      <c r="F76" s="77"/>
      <c r="G76" s="79">
        <f>G77</f>
        <v>13600</v>
      </c>
      <c r="H76" s="79">
        <f>H77</f>
        <v>-2700</v>
      </c>
      <c r="I76" s="79">
        <f t="shared" si="2"/>
        <v>10900</v>
      </c>
      <c r="J76" s="79">
        <f>J77</f>
        <v>11400</v>
      </c>
      <c r="K76" s="71">
        <v>0</v>
      </c>
      <c r="L76" s="105">
        <f t="shared" si="1"/>
        <v>11400</v>
      </c>
      <c r="M76" s="95"/>
      <c r="N76" s="95"/>
      <c r="O76" s="95"/>
    </row>
    <row r="77" spans="2:15" ht="32.25" customHeight="1">
      <c r="B77" s="131" t="s">
        <v>766</v>
      </c>
      <c r="C77" s="77" t="s">
        <v>637</v>
      </c>
      <c r="D77" s="78" t="s">
        <v>646</v>
      </c>
      <c r="E77" s="78" t="s">
        <v>658</v>
      </c>
      <c r="F77" s="77">
        <v>200</v>
      </c>
      <c r="G77" s="79">
        <v>13600</v>
      </c>
      <c r="H77" s="79">
        <f>-13600+10900</f>
        <v>-2700</v>
      </c>
      <c r="I77" s="79">
        <f t="shared" si="2"/>
        <v>10900</v>
      </c>
      <c r="J77" s="79">
        <v>11400</v>
      </c>
      <c r="K77" s="79">
        <f>K78+K79</f>
        <v>0</v>
      </c>
      <c r="L77" s="105">
        <f t="shared" si="1"/>
        <v>11400</v>
      </c>
      <c r="M77" s="95"/>
      <c r="N77" s="95"/>
      <c r="O77" s="95"/>
    </row>
    <row r="78" spans="2:15" ht="38.25">
      <c r="B78" s="130" t="s">
        <v>570</v>
      </c>
      <c r="C78" s="117" t="s">
        <v>637</v>
      </c>
      <c r="D78" s="128" t="s">
        <v>641</v>
      </c>
      <c r="E78" s="128"/>
      <c r="F78" s="117"/>
      <c r="G78" s="129">
        <f>G79+G82+G90+G100</f>
        <v>6738401</v>
      </c>
      <c r="H78" s="129">
        <f>H79+H82+H90+H100</f>
        <v>90779</v>
      </c>
      <c r="I78" s="129">
        <f aca="true" t="shared" si="3" ref="I78:I113">G78+H78</f>
        <v>6829180</v>
      </c>
      <c r="J78" s="129">
        <f>J79+J82+J90+J100</f>
        <v>6829180</v>
      </c>
      <c r="K78" s="71">
        <v>0</v>
      </c>
      <c r="L78" s="105">
        <f t="shared" si="1"/>
        <v>6829180</v>
      </c>
      <c r="M78" s="95"/>
      <c r="N78" s="95"/>
      <c r="O78" s="95"/>
    </row>
    <row r="79" spans="2:15" ht="25.5" hidden="1">
      <c r="B79" s="131" t="s">
        <v>907</v>
      </c>
      <c r="C79" s="77" t="s">
        <v>637</v>
      </c>
      <c r="D79" s="78" t="s">
        <v>641</v>
      </c>
      <c r="E79" s="78" t="s">
        <v>761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1">
        <v>0</v>
      </c>
      <c r="L79" s="105">
        <f aca="true" t="shared" si="4" ref="L79:L142">J79+K79</f>
        <v>0</v>
      </c>
      <c r="M79" s="95"/>
      <c r="N79" s="95"/>
      <c r="O79" s="95"/>
    </row>
    <row r="80" spans="2:15" s="64" customFormat="1" ht="25.5" hidden="1">
      <c r="B80" s="131" t="s">
        <v>908</v>
      </c>
      <c r="C80" s="77" t="s">
        <v>637</v>
      </c>
      <c r="D80" s="78" t="s">
        <v>641</v>
      </c>
      <c r="E80" s="78" t="s">
        <v>724</v>
      </c>
      <c r="F80" s="77"/>
      <c r="G80" s="79">
        <f>G81</f>
        <v>0</v>
      </c>
      <c r="H80" s="79">
        <f>H81</f>
        <v>0</v>
      </c>
      <c r="I80" s="79">
        <f t="shared" si="3"/>
        <v>0</v>
      </c>
      <c r="J80" s="79">
        <f>J81</f>
        <v>0</v>
      </c>
      <c r="K80" s="71">
        <f>K82</f>
        <v>0</v>
      </c>
      <c r="L80" s="105">
        <f t="shared" si="4"/>
        <v>0</v>
      </c>
      <c r="M80" s="95"/>
      <c r="N80" s="95"/>
      <c r="O80" s="95"/>
    </row>
    <row r="81" spans="2:15" s="64" customFormat="1" ht="25.5" hidden="1">
      <c r="B81" s="131" t="s">
        <v>766</v>
      </c>
      <c r="C81" s="77" t="s">
        <v>637</v>
      </c>
      <c r="D81" s="78" t="s">
        <v>641</v>
      </c>
      <c r="E81" s="78" t="s">
        <v>724</v>
      </c>
      <c r="F81" s="77">
        <v>200</v>
      </c>
      <c r="G81" s="79">
        <v>0</v>
      </c>
      <c r="H81" s="79">
        <v>0</v>
      </c>
      <c r="I81" s="79">
        <f t="shared" si="3"/>
        <v>0</v>
      </c>
      <c r="J81" s="79">
        <v>0</v>
      </c>
      <c r="K81" s="71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38.25">
      <c r="B82" s="131" t="s">
        <v>909</v>
      </c>
      <c r="C82" s="77" t="s">
        <v>637</v>
      </c>
      <c r="D82" s="78" t="s">
        <v>641</v>
      </c>
      <c r="E82" s="78" t="s">
        <v>800</v>
      </c>
      <c r="F82" s="77"/>
      <c r="G82" s="79">
        <f>G83</f>
        <v>5589720</v>
      </c>
      <c r="H82" s="79">
        <f>H83</f>
        <v>-5589720</v>
      </c>
      <c r="I82" s="79">
        <f t="shared" si="3"/>
        <v>0</v>
      </c>
      <c r="J82" s="79">
        <f>J83</f>
        <v>0</v>
      </c>
      <c r="K82" s="71">
        <f>K83</f>
        <v>0</v>
      </c>
      <c r="L82" s="105">
        <f t="shared" si="4"/>
        <v>0</v>
      </c>
      <c r="M82" s="95"/>
      <c r="N82" s="95"/>
      <c r="O82" s="95"/>
    </row>
    <row r="83" spans="2:15" s="64" customFormat="1" ht="25.5">
      <c r="B83" s="131" t="s">
        <v>910</v>
      </c>
      <c r="C83" s="77" t="s">
        <v>637</v>
      </c>
      <c r="D83" s="78" t="s">
        <v>641</v>
      </c>
      <c r="E83" s="78" t="s">
        <v>799</v>
      </c>
      <c r="F83" s="77"/>
      <c r="G83" s="79">
        <f>G84+G86</f>
        <v>5589720</v>
      </c>
      <c r="H83" s="79">
        <f>H84+H86</f>
        <v>-5589720</v>
      </c>
      <c r="I83" s="79">
        <f t="shared" si="3"/>
        <v>0</v>
      </c>
      <c r="J83" s="79">
        <f>J84+J86</f>
        <v>0</v>
      </c>
      <c r="K83" s="71">
        <v>0</v>
      </c>
      <c r="L83" s="105">
        <f t="shared" si="4"/>
        <v>0</v>
      </c>
      <c r="M83" s="95"/>
      <c r="N83" s="95"/>
      <c r="O83" s="95"/>
    </row>
    <row r="84" spans="2:15" s="64" customFormat="1" ht="24" customHeight="1">
      <c r="B84" s="131" t="s">
        <v>911</v>
      </c>
      <c r="C84" s="77" t="s">
        <v>637</v>
      </c>
      <c r="D84" s="78" t="s">
        <v>641</v>
      </c>
      <c r="E84" s="78" t="s">
        <v>798</v>
      </c>
      <c r="F84" s="77"/>
      <c r="G84" s="79">
        <f>G85</f>
        <v>4419200</v>
      </c>
      <c r="H84" s="79">
        <f>H85</f>
        <v>-4419200</v>
      </c>
      <c r="I84" s="79">
        <f t="shared" si="3"/>
        <v>0</v>
      </c>
      <c r="J84" s="79">
        <f>J85</f>
        <v>0</v>
      </c>
      <c r="K84" s="71">
        <f>K86</f>
        <v>0</v>
      </c>
      <c r="L84" s="105">
        <f t="shared" si="4"/>
        <v>0</v>
      </c>
      <c r="M84" s="95"/>
      <c r="N84" s="95"/>
      <c r="O84" s="95"/>
    </row>
    <row r="85" spans="2:15" s="64" customFormat="1" ht="51">
      <c r="B85" s="131" t="s">
        <v>765</v>
      </c>
      <c r="C85" s="77" t="s">
        <v>637</v>
      </c>
      <c r="D85" s="78" t="s">
        <v>641</v>
      </c>
      <c r="E85" s="78" t="s">
        <v>798</v>
      </c>
      <c r="F85" s="77">
        <v>100</v>
      </c>
      <c r="G85" s="79">
        <v>4419200</v>
      </c>
      <c r="H85" s="79">
        <v>-4419200</v>
      </c>
      <c r="I85" s="79">
        <f t="shared" si="3"/>
        <v>0</v>
      </c>
      <c r="J85" s="79">
        <v>0</v>
      </c>
      <c r="K85" s="71">
        <f>K86</f>
        <v>0</v>
      </c>
      <c r="L85" s="105">
        <f t="shared" si="4"/>
        <v>0</v>
      </c>
      <c r="M85" s="95"/>
      <c r="N85" s="95"/>
      <c r="O85" s="95"/>
    </row>
    <row r="86" spans="2:15" s="64" customFormat="1" ht="25.5">
      <c r="B86" s="131" t="s">
        <v>912</v>
      </c>
      <c r="C86" s="77" t="s">
        <v>637</v>
      </c>
      <c r="D86" s="78" t="s">
        <v>641</v>
      </c>
      <c r="E86" s="78" t="s">
        <v>797</v>
      </c>
      <c r="F86" s="77"/>
      <c r="G86" s="79">
        <f>G87+G88+G89</f>
        <v>1170520</v>
      </c>
      <c r="H86" s="79">
        <f>H87+H88+H89</f>
        <v>-1170520</v>
      </c>
      <c r="I86" s="79">
        <f t="shared" si="3"/>
        <v>0</v>
      </c>
      <c r="J86" s="79">
        <f>J87+J88+J89</f>
        <v>0</v>
      </c>
      <c r="K86" s="71">
        <f>K87</f>
        <v>0</v>
      </c>
      <c r="L86" s="105">
        <f t="shared" si="4"/>
        <v>0</v>
      </c>
      <c r="M86" s="95"/>
      <c r="N86" s="95"/>
      <c r="O86" s="95"/>
    </row>
    <row r="87" spans="2:15" s="64" customFormat="1" ht="12.75" customHeight="1">
      <c r="B87" s="131" t="s">
        <v>765</v>
      </c>
      <c r="C87" s="77" t="s">
        <v>637</v>
      </c>
      <c r="D87" s="78" t="s">
        <v>641</v>
      </c>
      <c r="E87" s="78" t="s">
        <v>797</v>
      </c>
      <c r="F87" s="77">
        <v>100</v>
      </c>
      <c r="G87" s="79">
        <f>1154520+9000</f>
        <v>1163520</v>
      </c>
      <c r="H87" s="79">
        <v>-1163520</v>
      </c>
      <c r="I87" s="79">
        <f t="shared" si="3"/>
        <v>0</v>
      </c>
      <c r="J87" s="79">
        <v>0</v>
      </c>
      <c r="K87" s="71">
        <v>0</v>
      </c>
      <c r="L87" s="105">
        <f t="shared" si="4"/>
        <v>0</v>
      </c>
      <c r="M87" s="95"/>
      <c r="N87" s="95"/>
      <c r="O87" s="95"/>
    </row>
    <row r="88" spans="2:15" ht="12.75" customHeight="1">
      <c r="B88" s="131" t="s">
        <v>766</v>
      </c>
      <c r="C88" s="77" t="s">
        <v>637</v>
      </c>
      <c r="D88" s="78" t="s">
        <v>641</v>
      </c>
      <c r="E88" s="78" t="s">
        <v>797</v>
      </c>
      <c r="F88" s="77">
        <v>200</v>
      </c>
      <c r="G88" s="79">
        <v>0</v>
      </c>
      <c r="H88" s="79"/>
      <c r="I88" s="79">
        <f t="shared" si="3"/>
        <v>0</v>
      </c>
      <c r="J88" s="79"/>
      <c r="K88" s="79">
        <f>K89+K103+K112+K120+K133+K139+K98+K92+K126+K95</f>
        <v>0</v>
      </c>
      <c r="L88" s="71">
        <f t="shared" si="4"/>
        <v>0</v>
      </c>
      <c r="M88" s="95"/>
      <c r="N88" s="95"/>
      <c r="O88" s="95"/>
    </row>
    <row r="89" spans="2:15" ht="24" customHeight="1">
      <c r="B89" s="131" t="s">
        <v>769</v>
      </c>
      <c r="C89" s="77" t="s">
        <v>637</v>
      </c>
      <c r="D89" s="78" t="s">
        <v>641</v>
      </c>
      <c r="E89" s="78" t="s">
        <v>797</v>
      </c>
      <c r="F89" s="77">
        <v>800</v>
      </c>
      <c r="G89" s="79">
        <v>7000</v>
      </c>
      <c r="H89" s="79">
        <v>-7000</v>
      </c>
      <c r="I89" s="79">
        <f t="shared" si="3"/>
        <v>0</v>
      </c>
      <c r="J89" s="79">
        <v>0</v>
      </c>
      <c r="K89" s="79">
        <f>K90</f>
        <v>0</v>
      </c>
      <c r="L89" s="105">
        <f t="shared" si="4"/>
        <v>0</v>
      </c>
      <c r="M89" s="95"/>
      <c r="N89" s="95"/>
      <c r="O89" s="95"/>
    </row>
    <row r="90" spans="2:15" ht="12.75" customHeight="1">
      <c r="B90" s="88" t="s">
        <v>1161</v>
      </c>
      <c r="C90" s="77" t="s">
        <v>637</v>
      </c>
      <c r="D90" s="78" t="s">
        <v>641</v>
      </c>
      <c r="E90" s="78" t="s">
        <v>1162</v>
      </c>
      <c r="F90" s="77"/>
      <c r="G90" s="79">
        <f>G91</f>
        <v>0</v>
      </c>
      <c r="H90" s="79">
        <f>H91</f>
        <v>5684670</v>
      </c>
      <c r="I90" s="79">
        <f t="shared" si="3"/>
        <v>5684670</v>
      </c>
      <c r="J90" s="79">
        <f>J91</f>
        <v>5684670</v>
      </c>
      <c r="K90" s="79">
        <f>K91</f>
        <v>0</v>
      </c>
      <c r="L90" s="105">
        <f t="shared" si="4"/>
        <v>5684670</v>
      </c>
      <c r="M90" s="95"/>
      <c r="N90" s="95"/>
      <c r="O90" s="95"/>
    </row>
    <row r="91" spans="2:15" ht="48">
      <c r="B91" s="88" t="s">
        <v>1163</v>
      </c>
      <c r="C91" s="77" t="s">
        <v>637</v>
      </c>
      <c r="D91" s="78" t="s">
        <v>641</v>
      </c>
      <c r="E91" s="78" t="s">
        <v>1164</v>
      </c>
      <c r="F91" s="77"/>
      <c r="G91" s="79">
        <f>G92+G94+G96</f>
        <v>0</v>
      </c>
      <c r="H91" s="79">
        <f>H92+H94+H96</f>
        <v>5684670</v>
      </c>
      <c r="I91" s="79">
        <f t="shared" si="3"/>
        <v>5684670</v>
      </c>
      <c r="J91" s="79">
        <f>J92+J94+J96</f>
        <v>5684670</v>
      </c>
      <c r="K91" s="71">
        <v>0</v>
      </c>
      <c r="L91" s="105">
        <f t="shared" si="4"/>
        <v>5684670</v>
      </c>
      <c r="M91" s="95"/>
      <c r="N91" s="95"/>
      <c r="O91" s="95"/>
    </row>
    <row r="92" spans="2:15" s="64" customFormat="1" ht="36">
      <c r="B92" s="88" t="s">
        <v>1165</v>
      </c>
      <c r="C92" s="77" t="s">
        <v>637</v>
      </c>
      <c r="D92" s="78" t="s">
        <v>641</v>
      </c>
      <c r="E92" s="78" t="s">
        <v>1166</v>
      </c>
      <c r="F92" s="77"/>
      <c r="G92" s="79">
        <f>G93</f>
        <v>0</v>
      </c>
      <c r="H92" s="79">
        <f>H93</f>
        <v>0</v>
      </c>
      <c r="I92" s="79">
        <f t="shared" si="3"/>
        <v>0</v>
      </c>
      <c r="J92" s="79">
        <f>J93</f>
        <v>0</v>
      </c>
      <c r="K92" s="71">
        <f>K93</f>
        <v>0</v>
      </c>
      <c r="L92" s="105">
        <f t="shared" si="4"/>
        <v>0</v>
      </c>
      <c r="M92" s="95"/>
      <c r="N92" s="95"/>
      <c r="O92" s="95"/>
    </row>
    <row r="93" spans="2:15" s="64" customFormat="1" ht="24">
      <c r="B93" s="88" t="s">
        <v>766</v>
      </c>
      <c r="C93" s="77" t="s">
        <v>637</v>
      </c>
      <c r="D93" s="78" t="s">
        <v>641</v>
      </c>
      <c r="E93" s="78" t="s">
        <v>1166</v>
      </c>
      <c r="F93" s="77" t="s">
        <v>971</v>
      </c>
      <c r="G93" s="79">
        <v>0</v>
      </c>
      <c r="H93" s="79">
        <v>0</v>
      </c>
      <c r="I93" s="79">
        <f t="shared" si="3"/>
        <v>0</v>
      </c>
      <c r="J93" s="79">
        <v>0</v>
      </c>
      <c r="K93" s="71">
        <f>K94</f>
        <v>0</v>
      </c>
      <c r="L93" s="105">
        <f t="shared" si="4"/>
        <v>0</v>
      </c>
      <c r="M93" s="95"/>
      <c r="N93" s="95"/>
      <c r="O93" s="95"/>
    </row>
    <row r="94" spans="2:15" s="64" customFormat="1" ht="25.5">
      <c r="B94" s="131" t="s">
        <v>911</v>
      </c>
      <c r="C94" s="77" t="s">
        <v>637</v>
      </c>
      <c r="D94" s="78" t="s">
        <v>641</v>
      </c>
      <c r="E94" s="78" t="s">
        <v>1408</v>
      </c>
      <c r="F94" s="77"/>
      <c r="G94" s="79">
        <f>G95</f>
        <v>0</v>
      </c>
      <c r="H94" s="79">
        <f>H95</f>
        <v>4397650</v>
      </c>
      <c r="I94" s="79">
        <f t="shared" si="3"/>
        <v>4397650</v>
      </c>
      <c r="J94" s="79">
        <f>J95</f>
        <v>4397650</v>
      </c>
      <c r="K94" s="71">
        <v>0</v>
      </c>
      <c r="L94" s="105">
        <f t="shared" si="4"/>
        <v>4397650</v>
      </c>
      <c r="M94" s="95"/>
      <c r="N94" s="95"/>
      <c r="O94" s="95"/>
    </row>
    <row r="95" spans="2:15" s="64" customFormat="1" ht="51">
      <c r="B95" s="131" t="s">
        <v>765</v>
      </c>
      <c r="C95" s="77" t="s">
        <v>637</v>
      </c>
      <c r="D95" s="78" t="s">
        <v>641</v>
      </c>
      <c r="E95" s="78" t="s">
        <v>1408</v>
      </c>
      <c r="F95" s="77" t="s">
        <v>733</v>
      </c>
      <c r="G95" s="79"/>
      <c r="H95" s="79">
        <f>3377610+1020040</f>
        <v>4397650</v>
      </c>
      <c r="I95" s="79">
        <f t="shared" si="3"/>
        <v>4397650</v>
      </c>
      <c r="J95" s="79">
        <f>3377610+1020040</f>
        <v>4397650</v>
      </c>
      <c r="K95" s="71">
        <f>K96</f>
        <v>0</v>
      </c>
      <c r="L95" s="105">
        <f t="shared" si="4"/>
        <v>4397650</v>
      </c>
      <c r="M95" s="95"/>
      <c r="N95" s="95"/>
      <c r="O95" s="95"/>
    </row>
    <row r="96" spans="2:15" s="64" customFormat="1" ht="25.5">
      <c r="B96" s="131" t="s">
        <v>912</v>
      </c>
      <c r="C96" s="77" t="s">
        <v>637</v>
      </c>
      <c r="D96" s="78" t="s">
        <v>641</v>
      </c>
      <c r="E96" s="78" t="s">
        <v>1409</v>
      </c>
      <c r="F96" s="77"/>
      <c r="G96" s="79">
        <f>G97+G98+G99</f>
        <v>0</v>
      </c>
      <c r="H96" s="79">
        <f>H97+H98+H99</f>
        <v>1287020</v>
      </c>
      <c r="I96" s="79">
        <f t="shared" si="3"/>
        <v>1287020</v>
      </c>
      <c r="J96" s="79">
        <f>J97+J98+J99</f>
        <v>1287020</v>
      </c>
      <c r="K96" s="71">
        <f>K97</f>
        <v>0</v>
      </c>
      <c r="L96" s="105">
        <f t="shared" si="4"/>
        <v>1287020</v>
      </c>
      <c r="M96" s="95"/>
      <c r="N96" s="95"/>
      <c r="O96" s="95"/>
    </row>
    <row r="97" spans="2:15" s="64" customFormat="1" ht="51">
      <c r="B97" s="131" t="s">
        <v>765</v>
      </c>
      <c r="C97" s="77" t="s">
        <v>637</v>
      </c>
      <c r="D97" s="78" t="s">
        <v>641</v>
      </c>
      <c r="E97" s="78" t="s">
        <v>1409</v>
      </c>
      <c r="F97" s="77" t="s">
        <v>733</v>
      </c>
      <c r="G97" s="79"/>
      <c r="H97" s="79">
        <f>988490+298530</f>
        <v>1287020</v>
      </c>
      <c r="I97" s="79">
        <f t="shared" si="3"/>
        <v>1287020</v>
      </c>
      <c r="J97" s="79">
        <f>988490+298530</f>
        <v>1287020</v>
      </c>
      <c r="K97" s="71">
        <v>0</v>
      </c>
      <c r="L97" s="105">
        <f t="shared" si="4"/>
        <v>1287020</v>
      </c>
      <c r="M97" s="95"/>
      <c r="N97" s="95"/>
      <c r="O97" s="95"/>
    </row>
    <row r="98" spans="2:15" s="64" customFormat="1" ht="24">
      <c r="B98" s="88" t="s">
        <v>766</v>
      </c>
      <c r="C98" s="77" t="s">
        <v>637</v>
      </c>
      <c r="D98" s="78" t="s">
        <v>641</v>
      </c>
      <c r="E98" s="78" t="s">
        <v>1409</v>
      </c>
      <c r="F98" s="77" t="s">
        <v>971</v>
      </c>
      <c r="G98" s="79"/>
      <c r="H98" s="79"/>
      <c r="I98" s="79">
        <f t="shared" si="3"/>
        <v>0</v>
      </c>
      <c r="J98" s="79"/>
      <c r="K98" s="71">
        <f>K99</f>
        <v>0</v>
      </c>
      <c r="L98" s="105">
        <f t="shared" si="4"/>
        <v>0</v>
      </c>
      <c r="M98" s="95"/>
      <c r="N98" s="95"/>
      <c r="O98" s="95"/>
    </row>
    <row r="99" spans="2:15" s="64" customFormat="1" ht="12.75">
      <c r="B99" s="88" t="s">
        <v>769</v>
      </c>
      <c r="C99" s="77" t="s">
        <v>637</v>
      </c>
      <c r="D99" s="78" t="s">
        <v>641</v>
      </c>
      <c r="E99" s="78" t="s">
        <v>1409</v>
      </c>
      <c r="F99" s="77" t="s">
        <v>967</v>
      </c>
      <c r="G99" s="79"/>
      <c r="H99" s="79"/>
      <c r="I99" s="79">
        <f t="shared" si="3"/>
        <v>0</v>
      </c>
      <c r="J99" s="79"/>
      <c r="K99" s="71">
        <f>K100+K101+K102</f>
        <v>0</v>
      </c>
      <c r="L99" s="105">
        <f t="shared" si="4"/>
        <v>0</v>
      </c>
      <c r="M99" s="95"/>
      <c r="N99" s="95"/>
      <c r="O99" s="95"/>
    </row>
    <row r="100" spans="2:15" s="64" customFormat="1" ht="12.75">
      <c r="B100" s="131" t="s">
        <v>807</v>
      </c>
      <c r="C100" s="77" t="s">
        <v>637</v>
      </c>
      <c r="D100" s="78" t="s">
        <v>641</v>
      </c>
      <c r="E100" s="78" t="s">
        <v>783</v>
      </c>
      <c r="F100" s="77"/>
      <c r="G100" s="79">
        <f>G101</f>
        <v>1148681</v>
      </c>
      <c r="H100" s="79">
        <f>H101</f>
        <v>-4171</v>
      </c>
      <c r="I100" s="79">
        <f t="shared" si="3"/>
        <v>1144510</v>
      </c>
      <c r="J100" s="79">
        <f>J101</f>
        <v>1144510</v>
      </c>
      <c r="K100" s="71">
        <v>0</v>
      </c>
      <c r="L100" s="105">
        <f t="shared" si="4"/>
        <v>1144510</v>
      </c>
      <c r="M100" s="95"/>
      <c r="N100" s="95"/>
      <c r="O100" s="95"/>
    </row>
    <row r="101" spans="2:15" s="64" customFormat="1" ht="24" customHeight="1">
      <c r="B101" s="131" t="s">
        <v>817</v>
      </c>
      <c r="C101" s="77" t="s">
        <v>637</v>
      </c>
      <c r="D101" s="78" t="s">
        <v>641</v>
      </c>
      <c r="E101" s="78" t="s">
        <v>786</v>
      </c>
      <c r="F101" s="77"/>
      <c r="G101" s="79">
        <f>G102+G108</f>
        <v>1148681</v>
      </c>
      <c r="H101" s="79">
        <f>H102+H108</f>
        <v>-4171</v>
      </c>
      <c r="I101" s="79">
        <f t="shared" si="3"/>
        <v>1144510</v>
      </c>
      <c r="J101" s="79">
        <f>J102+J108</f>
        <v>1144510</v>
      </c>
      <c r="K101" s="71">
        <v>0</v>
      </c>
      <c r="L101" s="105">
        <f t="shared" si="4"/>
        <v>1144510</v>
      </c>
      <c r="M101" s="95"/>
      <c r="N101" s="95"/>
      <c r="O101" s="95"/>
    </row>
    <row r="102" spans="2:15" s="64" customFormat="1" ht="24" customHeight="1">
      <c r="B102" s="131" t="s">
        <v>814</v>
      </c>
      <c r="C102" s="77" t="s">
        <v>637</v>
      </c>
      <c r="D102" s="78" t="s">
        <v>641</v>
      </c>
      <c r="E102" s="78" t="s">
        <v>734</v>
      </c>
      <c r="F102" s="77"/>
      <c r="G102" s="79">
        <f>G103+G106</f>
        <v>1148681</v>
      </c>
      <c r="H102" s="79">
        <f>H103+H106</f>
        <v>-1148681</v>
      </c>
      <c r="I102" s="79">
        <f t="shared" si="3"/>
        <v>0</v>
      </c>
      <c r="J102" s="79">
        <f>J103+J106</f>
        <v>0</v>
      </c>
      <c r="K102" s="71">
        <v>0</v>
      </c>
      <c r="L102" s="105">
        <f t="shared" si="4"/>
        <v>0</v>
      </c>
      <c r="M102" s="95"/>
      <c r="N102" s="95"/>
      <c r="O102" s="95"/>
    </row>
    <row r="103" spans="2:15" ht="25.5">
      <c r="B103" s="131" t="s">
        <v>1110</v>
      </c>
      <c r="C103" s="77" t="s">
        <v>637</v>
      </c>
      <c r="D103" s="78" t="s">
        <v>641</v>
      </c>
      <c r="E103" s="78" t="s">
        <v>1097</v>
      </c>
      <c r="F103" s="77"/>
      <c r="G103" s="79">
        <f>G104+G105</f>
        <v>1148681</v>
      </c>
      <c r="H103" s="79">
        <f>H104+H105</f>
        <v>-1148681</v>
      </c>
      <c r="I103" s="79">
        <f t="shared" si="3"/>
        <v>0</v>
      </c>
      <c r="J103" s="79">
        <f>J104+J105</f>
        <v>0</v>
      </c>
      <c r="K103" s="79">
        <f>K104+K106+K109</f>
        <v>0</v>
      </c>
      <c r="L103" s="105">
        <f t="shared" si="4"/>
        <v>0</v>
      </c>
      <c r="M103" s="95"/>
      <c r="N103" s="95"/>
      <c r="O103" s="95"/>
    </row>
    <row r="104" spans="2:15" ht="51">
      <c r="B104" s="131" t="s">
        <v>765</v>
      </c>
      <c r="C104" s="77" t="s">
        <v>637</v>
      </c>
      <c r="D104" s="78" t="s">
        <v>641</v>
      </c>
      <c r="E104" s="78" t="s">
        <v>1097</v>
      </c>
      <c r="F104" s="77" t="s">
        <v>733</v>
      </c>
      <c r="G104" s="79">
        <f>1125781+22900</f>
        <v>1148681</v>
      </c>
      <c r="H104" s="79">
        <f>-1148681</f>
        <v>-1148681</v>
      </c>
      <c r="I104" s="79">
        <f t="shared" si="3"/>
        <v>0</v>
      </c>
      <c r="J104" s="79">
        <v>0</v>
      </c>
      <c r="K104" s="79">
        <f>K105</f>
        <v>0</v>
      </c>
      <c r="L104" s="105">
        <f t="shared" si="4"/>
        <v>0</v>
      </c>
      <c r="M104" s="95"/>
      <c r="N104" s="95"/>
      <c r="O104" s="95"/>
    </row>
    <row r="105" spans="2:15" ht="25.5">
      <c r="B105" s="131" t="s">
        <v>766</v>
      </c>
      <c r="C105" s="77" t="s">
        <v>637</v>
      </c>
      <c r="D105" s="78" t="s">
        <v>641</v>
      </c>
      <c r="E105" s="78" t="s">
        <v>1097</v>
      </c>
      <c r="F105" s="77" t="s">
        <v>971</v>
      </c>
      <c r="G105" s="79"/>
      <c r="H105" s="79"/>
      <c r="I105" s="79">
        <f t="shared" si="3"/>
        <v>0</v>
      </c>
      <c r="J105" s="79"/>
      <c r="K105" s="71">
        <v>0</v>
      </c>
      <c r="L105" s="105">
        <f t="shared" si="4"/>
        <v>0</v>
      </c>
      <c r="M105" s="95"/>
      <c r="N105" s="95"/>
      <c r="O105" s="95"/>
    </row>
    <row r="106" spans="2:15" s="64" customFormat="1" ht="25.5">
      <c r="B106" s="131" t="s">
        <v>1110</v>
      </c>
      <c r="C106" s="77" t="s">
        <v>637</v>
      </c>
      <c r="D106" s="78" t="s">
        <v>641</v>
      </c>
      <c r="E106" s="78" t="s">
        <v>659</v>
      </c>
      <c r="F106" s="77"/>
      <c r="G106" s="79">
        <f>G107</f>
        <v>0</v>
      </c>
      <c r="H106" s="79">
        <f>H107</f>
        <v>0</v>
      </c>
      <c r="I106" s="79">
        <f t="shared" si="3"/>
        <v>0</v>
      </c>
      <c r="J106" s="79">
        <f>J107</f>
        <v>0</v>
      </c>
      <c r="K106" s="71">
        <f>K107</f>
        <v>0</v>
      </c>
      <c r="L106" s="105">
        <f t="shared" si="4"/>
        <v>0</v>
      </c>
      <c r="M106" s="95"/>
      <c r="N106" s="95"/>
      <c r="O106" s="95"/>
    </row>
    <row r="107" spans="2:15" s="64" customFormat="1" ht="51">
      <c r="B107" s="131" t="s">
        <v>765</v>
      </c>
      <c r="C107" s="77" t="s">
        <v>637</v>
      </c>
      <c r="D107" s="78" t="s">
        <v>641</v>
      </c>
      <c r="E107" s="78" t="s">
        <v>659</v>
      </c>
      <c r="F107" s="77" t="s">
        <v>733</v>
      </c>
      <c r="G107" s="79"/>
      <c r="H107" s="79"/>
      <c r="I107" s="79">
        <f t="shared" si="3"/>
        <v>0</v>
      </c>
      <c r="J107" s="79"/>
      <c r="K107" s="71">
        <f>K108</f>
        <v>0</v>
      </c>
      <c r="L107" s="105">
        <f t="shared" si="4"/>
        <v>0</v>
      </c>
      <c r="M107" s="95"/>
      <c r="N107" s="95"/>
      <c r="O107" s="95"/>
    </row>
    <row r="108" spans="2:15" s="64" customFormat="1" ht="24">
      <c r="B108" s="88" t="s">
        <v>814</v>
      </c>
      <c r="C108" s="77" t="s">
        <v>637</v>
      </c>
      <c r="D108" s="78" t="s">
        <v>641</v>
      </c>
      <c r="E108" s="78" t="s">
        <v>1419</v>
      </c>
      <c r="F108" s="77"/>
      <c r="G108" s="79">
        <f>G109+G112</f>
        <v>0</v>
      </c>
      <c r="H108" s="79">
        <f>H109+H112</f>
        <v>1144510</v>
      </c>
      <c r="I108" s="79">
        <f t="shared" si="3"/>
        <v>1144510</v>
      </c>
      <c r="J108" s="79">
        <f>J109+J112</f>
        <v>1144510</v>
      </c>
      <c r="K108" s="71">
        <v>0</v>
      </c>
      <c r="L108" s="105">
        <f t="shared" si="4"/>
        <v>1144510</v>
      </c>
      <c r="M108" s="95"/>
      <c r="N108" s="95"/>
      <c r="O108" s="95"/>
    </row>
    <row r="109" spans="2:15" ht="24">
      <c r="B109" s="88" t="s">
        <v>1110</v>
      </c>
      <c r="C109" s="77" t="s">
        <v>637</v>
      </c>
      <c r="D109" s="78" t="s">
        <v>641</v>
      </c>
      <c r="E109" s="78" t="s">
        <v>1420</v>
      </c>
      <c r="F109" s="77"/>
      <c r="G109" s="79">
        <f>G110+G111</f>
        <v>0</v>
      </c>
      <c r="H109" s="79">
        <f>H110+H111</f>
        <v>645020</v>
      </c>
      <c r="I109" s="79">
        <f t="shared" si="3"/>
        <v>645020</v>
      </c>
      <c r="J109" s="79">
        <f>J110+J111</f>
        <v>645020</v>
      </c>
      <c r="K109" s="79">
        <f>K110+K111</f>
        <v>0</v>
      </c>
      <c r="L109" s="105">
        <f t="shared" si="4"/>
        <v>645020</v>
      </c>
      <c r="M109" s="95"/>
      <c r="N109" s="95"/>
      <c r="O109" s="95"/>
    </row>
    <row r="110" spans="2:15" ht="48">
      <c r="B110" s="88" t="s">
        <v>765</v>
      </c>
      <c r="C110" s="77" t="s">
        <v>637</v>
      </c>
      <c r="D110" s="78" t="s">
        <v>641</v>
      </c>
      <c r="E110" s="78" t="s">
        <v>1420</v>
      </c>
      <c r="F110" s="77" t="s">
        <v>733</v>
      </c>
      <c r="G110" s="79"/>
      <c r="H110" s="79">
        <f>495410+149610</f>
        <v>645020</v>
      </c>
      <c r="I110" s="79">
        <f t="shared" si="3"/>
        <v>645020</v>
      </c>
      <c r="J110" s="79">
        <f>495410+149610</f>
        <v>645020</v>
      </c>
      <c r="K110" s="71">
        <v>0</v>
      </c>
      <c r="L110" s="105">
        <f t="shared" si="4"/>
        <v>645020</v>
      </c>
      <c r="M110" s="95"/>
      <c r="N110" s="95"/>
      <c r="O110" s="95"/>
    </row>
    <row r="111" spans="2:15" ht="24" customHeight="1">
      <c r="B111" s="88" t="s">
        <v>766</v>
      </c>
      <c r="C111" s="77" t="s">
        <v>637</v>
      </c>
      <c r="D111" s="78" t="s">
        <v>641</v>
      </c>
      <c r="E111" s="78" t="s">
        <v>1420</v>
      </c>
      <c r="F111" s="77" t="s">
        <v>971</v>
      </c>
      <c r="G111" s="79"/>
      <c r="H111" s="79"/>
      <c r="I111" s="79">
        <f t="shared" si="3"/>
        <v>0</v>
      </c>
      <c r="J111" s="79"/>
      <c r="K111" s="71">
        <v>0</v>
      </c>
      <c r="L111" s="105">
        <f t="shared" si="4"/>
        <v>0</v>
      </c>
      <c r="M111" s="95"/>
      <c r="N111" s="95"/>
      <c r="O111" s="95"/>
    </row>
    <row r="112" spans="2:15" ht="24">
      <c r="B112" s="88" t="s">
        <v>1110</v>
      </c>
      <c r="C112" s="77" t="s">
        <v>637</v>
      </c>
      <c r="D112" s="78" t="s">
        <v>641</v>
      </c>
      <c r="E112" s="78" t="s">
        <v>1421</v>
      </c>
      <c r="F112" s="77"/>
      <c r="G112" s="79">
        <f>G113</f>
        <v>0</v>
      </c>
      <c r="H112" s="79">
        <f>H113</f>
        <v>499490</v>
      </c>
      <c r="I112" s="79">
        <f t="shared" si="3"/>
        <v>499490</v>
      </c>
      <c r="J112" s="79">
        <f>J113</f>
        <v>499490</v>
      </c>
      <c r="K112" s="79">
        <f>K113+K116+K118</f>
        <v>0</v>
      </c>
      <c r="L112" s="105">
        <f t="shared" si="4"/>
        <v>499490</v>
      </c>
      <c r="M112" s="95"/>
      <c r="N112" s="95"/>
      <c r="O112" s="95"/>
    </row>
    <row r="113" spans="2:15" ht="48">
      <c r="B113" s="88" t="s">
        <v>765</v>
      </c>
      <c r="C113" s="77" t="s">
        <v>637</v>
      </c>
      <c r="D113" s="78" t="s">
        <v>641</v>
      </c>
      <c r="E113" s="78" t="s">
        <v>1421</v>
      </c>
      <c r="F113" s="77" t="s">
        <v>733</v>
      </c>
      <c r="G113" s="79"/>
      <c r="H113" s="79">
        <f>383630+115860</f>
        <v>499490</v>
      </c>
      <c r="I113" s="79">
        <f t="shared" si="3"/>
        <v>499490</v>
      </c>
      <c r="J113" s="79">
        <f>383630+115860</f>
        <v>499490</v>
      </c>
      <c r="K113" s="79">
        <f>K114+K115</f>
        <v>0</v>
      </c>
      <c r="L113" s="105">
        <f t="shared" si="4"/>
        <v>499490</v>
      </c>
      <c r="M113" s="95"/>
      <c r="N113" s="95"/>
      <c r="O113" s="95"/>
    </row>
    <row r="114" spans="2:15" ht="12.75" hidden="1">
      <c r="B114" s="130" t="s">
        <v>381</v>
      </c>
      <c r="C114" s="117" t="s">
        <v>637</v>
      </c>
      <c r="D114" s="128" t="s">
        <v>648</v>
      </c>
      <c r="E114" s="128"/>
      <c r="F114" s="117"/>
      <c r="G114" s="129">
        <f>G116</f>
        <v>0</v>
      </c>
      <c r="H114" s="129">
        <f>H116</f>
        <v>0</v>
      </c>
      <c r="I114" s="129">
        <f t="shared" si="2"/>
        <v>0</v>
      </c>
      <c r="J114" s="129">
        <f>J116</f>
        <v>0</v>
      </c>
      <c r="K114" s="71">
        <v>0</v>
      </c>
      <c r="L114" s="105">
        <f t="shared" si="4"/>
        <v>0</v>
      </c>
      <c r="M114" s="95"/>
      <c r="N114" s="95"/>
      <c r="O114" s="95"/>
    </row>
    <row r="115" spans="2:15" ht="12.75" hidden="1">
      <c r="B115" s="131" t="s">
        <v>807</v>
      </c>
      <c r="C115" s="77" t="s">
        <v>637</v>
      </c>
      <c r="D115" s="78" t="s">
        <v>648</v>
      </c>
      <c r="E115" s="78" t="s">
        <v>783</v>
      </c>
      <c r="F115" s="77"/>
      <c r="G115" s="79">
        <f>G116</f>
        <v>0</v>
      </c>
      <c r="H115" s="79">
        <f>H116</f>
        <v>0</v>
      </c>
      <c r="I115" s="79">
        <f t="shared" si="2"/>
        <v>0</v>
      </c>
      <c r="J115" s="79">
        <f>J116</f>
        <v>0</v>
      </c>
      <c r="K115" s="71">
        <v>0</v>
      </c>
      <c r="L115" s="105">
        <f t="shared" si="4"/>
        <v>0</v>
      </c>
      <c r="M115" s="95"/>
      <c r="N115" s="95"/>
      <c r="O115" s="95"/>
    </row>
    <row r="116" spans="2:15" ht="25.5" hidden="1">
      <c r="B116" s="131" t="s">
        <v>818</v>
      </c>
      <c r="C116" s="77" t="s">
        <v>637</v>
      </c>
      <c r="D116" s="78" t="s">
        <v>648</v>
      </c>
      <c r="E116" s="78" t="s">
        <v>660</v>
      </c>
      <c r="F116" s="77"/>
      <c r="G116" s="79">
        <f>G117</f>
        <v>0</v>
      </c>
      <c r="H116" s="79">
        <f>H117</f>
        <v>0</v>
      </c>
      <c r="I116" s="79">
        <f t="shared" si="2"/>
        <v>0</v>
      </c>
      <c r="J116" s="79">
        <f>J117</f>
        <v>0</v>
      </c>
      <c r="K116" s="79">
        <f>K117</f>
        <v>0</v>
      </c>
      <c r="L116" s="105">
        <f t="shared" si="4"/>
        <v>0</v>
      </c>
      <c r="M116" s="95"/>
      <c r="N116" s="95"/>
      <c r="O116" s="95"/>
    </row>
    <row r="117" spans="2:15" ht="12.75" hidden="1">
      <c r="B117" s="131" t="s">
        <v>769</v>
      </c>
      <c r="C117" s="77" t="s">
        <v>637</v>
      </c>
      <c r="D117" s="78" t="s">
        <v>648</v>
      </c>
      <c r="E117" s="78" t="s">
        <v>660</v>
      </c>
      <c r="F117" s="77">
        <v>800</v>
      </c>
      <c r="G117" s="79">
        <v>0</v>
      </c>
      <c r="H117" s="79">
        <v>0</v>
      </c>
      <c r="I117" s="79">
        <f t="shared" si="2"/>
        <v>0</v>
      </c>
      <c r="J117" s="79"/>
      <c r="K117" s="71">
        <v>0</v>
      </c>
      <c r="L117" s="105">
        <f t="shared" si="4"/>
        <v>0</v>
      </c>
      <c r="M117" s="95"/>
      <c r="N117" s="95"/>
      <c r="O117" s="95"/>
    </row>
    <row r="118" spans="2:15" s="64" customFormat="1" ht="12.75">
      <c r="B118" s="130" t="s">
        <v>438</v>
      </c>
      <c r="C118" s="117" t="s">
        <v>637</v>
      </c>
      <c r="D118" s="128" t="s">
        <v>642</v>
      </c>
      <c r="E118" s="128"/>
      <c r="F118" s="117"/>
      <c r="G118" s="129">
        <f>G120</f>
        <v>1000000</v>
      </c>
      <c r="H118" s="129">
        <f>H120</f>
        <v>-1000000</v>
      </c>
      <c r="I118" s="129">
        <f t="shared" si="2"/>
        <v>0</v>
      </c>
      <c r="J118" s="129">
        <f>J120</f>
        <v>0</v>
      </c>
      <c r="K118" s="71">
        <f>K119</f>
        <v>0</v>
      </c>
      <c r="L118" s="105">
        <f t="shared" si="4"/>
        <v>0</v>
      </c>
      <c r="M118" s="95"/>
      <c r="N118" s="95"/>
      <c r="O118" s="95"/>
    </row>
    <row r="119" spans="2:15" s="64" customFormat="1" ht="12.75">
      <c r="B119" s="131" t="s">
        <v>807</v>
      </c>
      <c r="C119" s="77" t="s">
        <v>637</v>
      </c>
      <c r="D119" s="78" t="s">
        <v>642</v>
      </c>
      <c r="E119" s="78" t="s">
        <v>783</v>
      </c>
      <c r="F119" s="77"/>
      <c r="G119" s="79">
        <f>G120</f>
        <v>1000000</v>
      </c>
      <c r="H119" s="79">
        <f>H120</f>
        <v>-1000000</v>
      </c>
      <c r="I119" s="79">
        <f t="shared" si="2"/>
        <v>0</v>
      </c>
      <c r="J119" s="79">
        <f>J120</f>
        <v>0</v>
      </c>
      <c r="K119" s="71">
        <v>0</v>
      </c>
      <c r="L119" s="105">
        <f t="shared" si="4"/>
        <v>0</v>
      </c>
      <c r="M119" s="95"/>
      <c r="N119" s="95"/>
      <c r="O119" s="95"/>
    </row>
    <row r="120" spans="2:15" ht="12.75">
      <c r="B120" s="131" t="s">
        <v>623</v>
      </c>
      <c r="C120" s="77" t="s">
        <v>637</v>
      </c>
      <c r="D120" s="78" t="s">
        <v>642</v>
      </c>
      <c r="E120" s="78" t="s">
        <v>785</v>
      </c>
      <c r="F120" s="77"/>
      <c r="G120" s="79">
        <f>G121</f>
        <v>1000000</v>
      </c>
      <c r="H120" s="79">
        <f>H121</f>
        <v>-1000000</v>
      </c>
      <c r="I120" s="79">
        <f t="shared" si="2"/>
        <v>0</v>
      </c>
      <c r="J120" s="79">
        <f>J121</f>
        <v>0</v>
      </c>
      <c r="K120" s="79">
        <f>K121+K123</f>
        <v>0</v>
      </c>
      <c r="L120" s="105">
        <f t="shared" si="4"/>
        <v>0</v>
      </c>
      <c r="M120" s="95"/>
      <c r="N120" s="95"/>
      <c r="O120" s="95"/>
    </row>
    <row r="121" spans="2:15" ht="12.75">
      <c r="B121" s="131" t="s">
        <v>769</v>
      </c>
      <c r="C121" s="77" t="s">
        <v>637</v>
      </c>
      <c r="D121" s="78" t="s">
        <v>642</v>
      </c>
      <c r="E121" s="78" t="s">
        <v>785</v>
      </c>
      <c r="F121" s="77">
        <v>800</v>
      </c>
      <c r="G121" s="79">
        <f>500000+500000</f>
        <v>1000000</v>
      </c>
      <c r="H121" s="79">
        <v>-1000000</v>
      </c>
      <c r="I121" s="79">
        <f t="shared" si="2"/>
        <v>0</v>
      </c>
      <c r="J121" s="79">
        <v>0</v>
      </c>
      <c r="K121" s="79">
        <f>K122</f>
        <v>0</v>
      </c>
      <c r="L121" s="105">
        <f t="shared" si="4"/>
        <v>0</v>
      </c>
      <c r="M121" s="95"/>
      <c r="N121" s="95"/>
      <c r="O121" s="95"/>
    </row>
    <row r="122" spans="2:15" ht="12.75">
      <c r="B122" s="130" t="s">
        <v>446</v>
      </c>
      <c r="C122" s="117" t="s">
        <v>637</v>
      </c>
      <c r="D122" s="128" t="s">
        <v>643</v>
      </c>
      <c r="E122" s="128"/>
      <c r="F122" s="117"/>
      <c r="G122" s="129">
        <f>G135+G139+G152+G146+G123+G130</f>
        <v>12458217</v>
      </c>
      <c r="H122" s="129">
        <f>H135+H139+H152+H146+H123+H130</f>
        <v>2691221</v>
      </c>
      <c r="I122" s="129">
        <f t="shared" si="2"/>
        <v>15149438</v>
      </c>
      <c r="J122" s="129">
        <f>J135+J139+J152+J146+J123+J130</f>
        <v>15105038</v>
      </c>
      <c r="K122" s="71">
        <v>0</v>
      </c>
      <c r="L122" s="105">
        <f t="shared" si="4"/>
        <v>15105038</v>
      </c>
      <c r="M122" s="95"/>
      <c r="N122" s="95"/>
      <c r="O122" s="95"/>
    </row>
    <row r="123" spans="2:15" s="64" customFormat="1" ht="36" hidden="1">
      <c r="B123" s="88" t="s">
        <v>1183</v>
      </c>
      <c r="C123" s="77" t="s">
        <v>637</v>
      </c>
      <c r="D123" s="78" t="s">
        <v>643</v>
      </c>
      <c r="E123" s="77" t="s">
        <v>1184</v>
      </c>
      <c r="F123" s="77"/>
      <c r="G123" s="79">
        <f>G124</f>
        <v>0</v>
      </c>
      <c r="H123" s="79">
        <f>H124</f>
        <v>0</v>
      </c>
      <c r="I123" s="79">
        <f t="shared" si="2"/>
        <v>0</v>
      </c>
      <c r="J123" s="79">
        <f>J124</f>
        <v>0</v>
      </c>
      <c r="K123" s="71">
        <f>K125+K124</f>
        <v>0</v>
      </c>
      <c r="L123" s="105">
        <f t="shared" si="4"/>
        <v>0</v>
      </c>
      <c r="M123" s="95"/>
      <c r="N123" s="95"/>
      <c r="O123" s="95"/>
    </row>
    <row r="124" spans="2:15" s="64" customFormat="1" ht="27" hidden="1">
      <c r="B124" s="88" t="s">
        <v>1313</v>
      </c>
      <c r="C124" s="77" t="s">
        <v>637</v>
      </c>
      <c r="D124" s="78" t="s">
        <v>643</v>
      </c>
      <c r="E124" s="77" t="s">
        <v>1283</v>
      </c>
      <c r="F124" s="77"/>
      <c r="G124" s="79">
        <f>G125+G127</f>
        <v>0</v>
      </c>
      <c r="H124" s="79">
        <f>H125+H127</f>
        <v>0</v>
      </c>
      <c r="I124" s="79">
        <f t="shared" si="2"/>
        <v>0</v>
      </c>
      <c r="J124" s="79">
        <f>J125+J127</f>
        <v>0</v>
      </c>
      <c r="K124" s="71">
        <v>0</v>
      </c>
      <c r="L124" s="105">
        <f t="shared" si="4"/>
        <v>0</v>
      </c>
      <c r="M124" s="95"/>
      <c r="N124" s="95"/>
      <c r="O124" s="95"/>
    </row>
    <row r="125" spans="2:15" s="64" customFormat="1" ht="60" hidden="1">
      <c r="B125" s="90" t="s">
        <v>1314</v>
      </c>
      <c r="C125" s="77" t="s">
        <v>637</v>
      </c>
      <c r="D125" s="78" t="s">
        <v>643</v>
      </c>
      <c r="E125" s="77" t="s">
        <v>1315</v>
      </c>
      <c r="F125" s="77"/>
      <c r="G125" s="79">
        <f>G126</f>
        <v>0</v>
      </c>
      <c r="H125" s="79">
        <f>H126</f>
        <v>0</v>
      </c>
      <c r="I125" s="79">
        <f t="shared" si="2"/>
        <v>0</v>
      </c>
      <c r="J125" s="79">
        <f>J126</f>
        <v>0</v>
      </c>
      <c r="K125" s="71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88" t="s">
        <v>766</v>
      </c>
      <c r="C126" s="77" t="s">
        <v>637</v>
      </c>
      <c r="D126" s="78" t="s">
        <v>643</v>
      </c>
      <c r="E126" s="77" t="s">
        <v>1315</v>
      </c>
      <c r="F126" s="77" t="s">
        <v>971</v>
      </c>
      <c r="G126" s="79">
        <v>0</v>
      </c>
      <c r="H126" s="79">
        <v>0</v>
      </c>
      <c r="I126" s="79">
        <f t="shared" si="2"/>
        <v>0</v>
      </c>
      <c r="J126" s="79">
        <v>0</v>
      </c>
      <c r="K126" s="79">
        <f>K127+K129+K131</f>
        <v>0</v>
      </c>
      <c r="L126" s="105">
        <f t="shared" si="4"/>
        <v>0</v>
      </c>
      <c r="M126" s="95"/>
      <c r="N126" s="95"/>
      <c r="O126" s="95"/>
    </row>
    <row r="127" spans="2:15" ht="27.75" customHeight="1" hidden="1">
      <c r="B127" s="90" t="s">
        <v>1284</v>
      </c>
      <c r="C127" s="77" t="s">
        <v>637</v>
      </c>
      <c r="D127" s="78" t="s">
        <v>643</v>
      </c>
      <c r="E127" s="77" t="s">
        <v>1285</v>
      </c>
      <c r="F127" s="77"/>
      <c r="G127" s="79">
        <f>G128</f>
        <v>0</v>
      </c>
      <c r="H127" s="79">
        <f>H128</f>
        <v>0</v>
      </c>
      <c r="I127" s="79">
        <f t="shared" si="2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12.75" hidden="1">
      <c r="B128" s="90" t="s">
        <v>894</v>
      </c>
      <c r="C128" s="77" t="s">
        <v>637</v>
      </c>
      <c r="D128" s="78" t="s">
        <v>643</v>
      </c>
      <c r="E128" s="77" t="s">
        <v>1316</v>
      </c>
      <c r="F128" s="77"/>
      <c r="G128" s="79">
        <f>G129</f>
        <v>0</v>
      </c>
      <c r="H128" s="79">
        <f>H129</f>
        <v>0</v>
      </c>
      <c r="I128" s="79">
        <f t="shared" si="2"/>
        <v>0</v>
      </c>
      <c r="J128" s="79">
        <f>J129</f>
        <v>0</v>
      </c>
      <c r="K128" s="71">
        <v>0</v>
      </c>
      <c r="L128" s="105">
        <f t="shared" si="4"/>
        <v>0</v>
      </c>
      <c r="M128" s="95"/>
      <c r="N128" s="95"/>
      <c r="O128" s="95"/>
    </row>
    <row r="129" spans="2:15" ht="24" customHeight="1" hidden="1">
      <c r="B129" s="88" t="s">
        <v>766</v>
      </c>
      <c r="C129" s="77" t="s">
        <v>637</v>
      </c>
      <c r="D129" s="78" t="s">
        <v>643</v>
      </c>
      <c r="E129" s="77" t="s">
        <v>1316</v>
      </c>
      <c r="F129" s="77" t="s">
        <v>971</v>
      </c>
      <c r="G129" s="79">
        <v>0</v>
      </c>
      <c r="H129" s="79">
        <v>0</v>
      </c>
      <c r="I129" s="79">
        <f t="shared" si="2"/>
        <v>0</v>
      </c>
      <c r="J129" s="79">
        <v>0</v>
      </c>
      <c r="K129" s="79">
        <f>K130</f>
        <v>0</v>
      </c>
      <c r="L129" s="105">
        <f t="shared" si="4"/>
        <v>0</v>
      </c>
      <c r="M129" s="95"/>
      <c r="N129" s="95"/>
      <c r="O129" s="95"/>
    </row>
    <row r="130" spans="2:15" ht="36" hidden="1">
      <c r="B130" s="90" t="s">
        <v>1317</v>
      </c>
      <c r="C130" s="77" t="s">
        <v>637</v>
      </c>
      <c r="D130" s="78" t="s">
        <v>643</v>
      </c>
      <c r="E130" s="77" t="s">
        <v>1318</v>
      </c>
      <c r="F130" s="77"/>
      <c r="G130" s="79">
        <f aca="true" t="shared" si="5" ref="G130:H133">G131</f>
        <v>0</v>
      </c>
      <c r="H130" s="79">
        <f t="shared" si="5"/>
        <v>0</v>
      </c>
      <c r="I130" s="79">
        <f t="shared" si="2"/>
        <v>0</v>
      </c>
      <c r="J130" s="79">
        <f>J131</f>
        <v>0</v>
      </c>
      <c r="K130" s="79"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1319</v>
      </c>
      <c r="C131" s="77" t="s">
        <v>637</v>
      </c>
      <c r="D131" s="78" t="s">
        <v>643</v>
      </c>
      <c r="E131" s="77" t="s">
        <v>1320</v>
      </c>
      <c r="F131" s="77"/>
      <c r="G131" s="79">
        <f t="shared" si="5"/>
        <v>0</v>
      </c>
      <c r="H131" s="79">
        <f t="shared" si="5"/>
        <v>0</v>
      </c>
      <c r="I131" s="79">
        <f t="shared" si="2"/>
        <v>0</v>
      </c>
      <c r="J131" s="79">
        <f>J132</f>
        <v>0</v>
      </c>
      <c r="K131" s="79">
        <f>K132</f>
        <v>0</v>
      </c>
      <c r="L131" s="105">
        <f t="shared" si="4"/>
        <v>0</v>
      </c>
      <c r="M131" s="95"/>
      <c r="N131" s="95"/>
      <c r="O131" s="95"/>
    </row>
    <row r="132" spans="2:15" ht="12.75" hidden="1">
      <c r="B132" s="90" t="s">
        <v>1321</v>
      </c>
      <c r="C132" s="77" t="s">
        <v>637</v>
      </c>
      <c r="D132" s="78" t="s">
        <v>643</v>
      </c>
      <c r="E132" s="77" t="s">
        <v>749</v>
      </c>
      <c r="F132" s="77"/>
      <c r="G132" s="79">
        <f t="shared" si="5"/>
        <v>0</v>
      </c>
      <c r="H132" s="79">
        <f t="shared" si="5"/>
        <v>0</v>
      </c>
      <c r="I132" s="79">
        <f t="shared" si="2"/>
        <v>0</v>
      </c>
      <c r="J132" s="79">
        <f>J133</f>
        <v>0</v>
      </c>
      <c r="K132" s="71">
        <v>0</v>
      </c>
      <c r="L132" s="105">
        <f t="shared" si="4"/>
        <v>0</v>
      </c>
      <c r="M132" s="95"/>
      <c r="N132" s="95"/>
      <c r="O132" s="95"/>
    </row>
    <row r="133" spans="2:15" s="64" customFormat="1" ht="36" hidden="1">
      <c r="B133" s="90" t="s">
        <v>892</v>
      </c>
      <c r="C133" s="77" t="s">
        <v>637</v>
      </c>
      <c r="D133" s="78" t="s">
        <v>643</v>
      </c>
      <c r="E133" s="77" t="s">
        <v>1322</v>
      </c>
      <c r="F133" s="77"/>
      <c r="G133" s="79">
        <f t="shared" si="5"/>
        <v>0</v>
      </c>
      <c r="H133" s="79">
        <f t="shared" si="5"/>
        <v>0</v>
      </c>
      <c r="I133" s="79">
        <f t="shared" si="2"/>
        <v>0</v>
      </c>
      <c r="J133" s="79">
        <f>J134</f>
        <v>0</v>
      </c>
      <c r="K133" s="71">
        <f>K134+K136</f>
        <v>0</v>
      </c>
      <c r="L133" s="105">
        <f t="shared" si="4"/>
        <v>0</v>
      </c>
      <c r="M133" s="95"/>
      <c r="N133" s="95"/>
      <c r="O133" s="95"/>
    </row>
    <row r="134" spans="2:15" s="64" customFormat="1" ht="12.75" hidden="1">
      <c r="B134" s="88" t="s">
        <v>771</v>
      </c>
      <c r="C134" s="77" t="s">
        <v>637</v>
      </c>
      <c r="D134" s="78" t="s">
        <v>643</v>
      </c>
      <c r="E134" s="77" t="s">
        <v>1322</v>
      </c>
      <c r="F134" s="77" t="s">
        <v>997</v>
      </c>
      <c r="G134" s="79">
        <v>0</v>
      </c>
      <c r="H134" s="79">
        <v>0</v>
      </c>
      <c r="I134" s="79">
        <f t="shared" si="2"/>
        <v>0</v>
      </c>
      <c r="J134" s="79">
        <v>0</v>
      </c>
      <c r="K134" s="71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25.5">
      <c r="B135" s="131" t="s">
        <v>884</v>
      </c>
      <c r="C135" s="77" t="s">
        <v>637</v>
      </c>
      <c r="D135" s="78" t="s">
        <v>643</v>
      </c>
      <c r="E135" s="78" t="s">
        <v>663</v>
      </c>
      <c r="F135" s="77"/>
      <c r="G135" s="79">
        <f>G136</f>
        <v>716000</v>
      </c>
      <c r="H135" s="79">
        <f>H136</f>
        <v>-716000</v>
      </c>
      <c r="I135" s="79">
        <f t="shared" si="2"/>
        <v>0</v>
      </c>
      <c r="J135" s="79">
        <f>J136</f>
        <v>0</v>
      </c>
      <c r="K135" s="71">
        <v>0</v>
      </c>
      <c r="L135" s="105">
        <f t="shared" si="4"/>
        <v>0</v>
      </c>
      <c r="M135" s="95"/>
      <c r="N135" s="95"/>
      <c r="O135" s="95"/>
    </row>
    <row r="136" spans="2:15" s="64" customFormat="1" ht="19.5" customHeight="1">
      <c r="B136" s="131" t="s">
        <v>886</v>
      </c>
      <c r="C136" s="77" t="s">
        <v>637</v>
      </c>
      <c r="D136" s="78" t="s">
        <v>643</v>
      </c>
      <c r="E136" s="78" t="s">
        <v>667</v>
      </c>
      <c r="F136" s="77"/>
      <c r="G136" s="79">
        <f>G137+G138</f>
        <v>716000</v>
      </c>
      <c r="H136" s="79">
        <f>H137+H138</f>
        <v>-716000</v>
      </c>
      <c r="I136" s="79">
        <f t="shared" si="2"/>
        <v>0</v>
      </c>
      <c r="J136" s="79">
        <f>J137+J138</f>
        <v>0</v>
      </c>
      <c r="K136" s="71">
        <f>K137+K138</f>
        <v>0</v>
      </c>
      <c r="L136" s="105">
        <f t="shared" si="4"/>
        <v>0</v>
      </c>
      <c r="M136" s="95"/>
      <c r="N136" s="95"/>
      <c r="O136" s="95"/>
    </row>
    <row r="137" spans="2:15" s="64" customFormat="1" ht="51">
      <c r="B137" s="131" t="s">
        <v>765</v>
      </c>
      <c r="C137" s="77" t="s">
        <v>637</v>
      </c>
      <c r="D137" s="78" t="s">
        <v>643</v>
      </c>
      <c r="E137" s="78" t="s">
        <v>667</v>
      </c>
      <c r="F137" s="77">
        <v>100</v>
      </c>
      <c r="G137" s="79">
        <v>603668</v>
      </c>
      <c r="H137" s="79">
        <f>-603668</f>
        <v>-603668</v>
      </c>
      <c r="I137" s="79">
        <f t="shared" si="2"/>
        <v>0</v>
      </c>
      <c r="J137" s="79">
        <v>0</v>
      </c>
      <c r="K137" s="71">
        <v>0</v>
      </c>
      <c r="L137" s="105">
        <f t="shared" si="4"/>
        <v>0</v>
      </c>
      <c r="M137" s="95"/>
      <c r="N137" s="95"/>
      <c r="O137" s="95"/>
    </row>
    <row r="138" spans="2:15" s="64" customFormat="1" ht="25.5">
      <c r="B138" s="131" t="s">
        <v>766</v>
      </c>
      <c r="C138" s="77" t="s">
        <v>637</v>
      </c>
      <c r="D138" s="78" t="s">
        <v>643</v>
      </c>
      <c r="E138" s="78" t="s">
        <v>667</v>
      </c>
      <c r="F138" s="77">
        <v>200</v>
      </c>
      <c r="G138" s="79">
        <f>85032+13600+13700</f>
        <v>112332</v>
      </c>
      <c r="H138" s="79">
        <v>-112332</v>
      </c>
      <c r="I138" s="79">
        <f t="shared" si="2"/>
        <v>0</v>
      </c>
      <c r="J138" s="79">
        <v>0</v>
      </c>
      <c r="K138" s="71">
        <v>0</v>
      </c>
      <c r="L138" s="105">
        <f t="shared" si="4"/>
        <v>0</v>
      </c>
      <c r="M138" s="95"/>
      <c r="N138" s="95"/>
      <c r="O138" s="95"/>
    </row>
    <row r="139" spans="2:15" ht="25.5">
      <c r="B139" s="131" t="s">
        <v>913</v>
      </c>
      <c r="C139" s="77" t="s">
        <v>637</v>
      </c>
      <c r="D139" s="78" t="s">
        <v>643</v>
      </c>
      <c r="E139" s="78" t="s">
        <v>739</v>
      </c>
      <c r="F139" s="77"/>
      <c r="G139" s="79">
        <f>G140+G142</f>
        <v>3447299</v>
      </c>
      <c r="H139" s="79">
        <f>H140+H142</f>
        <v>-3447299</v>
      </c>
      <c r="I139" s="79">
        <f t="shared" si="2"/>
        <v>0</v>
      </c>
      <c r="J139" s="79">
        <f>J140+J142</f>
        <v>0</v>
      </c>
      <c r="K139" s="79">
        <f>K140+K142+K144+K148+K151</f>
        <v>0</v>
      </c>
      <c r="L139" s="105">
        <f t="shared" si="4"/>
        <v>0</v>
      </c>
      <c r="M139" s="95"/>
      <c r="N139" s="95"/>
      <c r="O139" s="95"/>
    </row>
    <row r="140" spans="2:15" ht="25.5" hidden="1">
      <c r="B140" s="131" t="s">
        <v>914</v>
      </c>
      <c r="C140" s="77" t="s">
        <v>637</v>
      </c>
      <c r="D140" s="78" t="s">
        <v>643</v>
      </c>
      <c r="E140" s="78" t="s">
        <v>670</v>
      </c>
      <c r="F140" s="77"/>
      <c r="G140" s="79">
        <f>G141</f>
        <v>0</v>
      </c>
      <c r="H140" s="79">
        <f>H141</f>
        <v>0</v>
      </c>
      <c r="I140" s="79">
        <f t="shared" si="2"/>
        <v>0</v>
      </c>
      <c r="J140" s="79">
        <f>J141</f>
        <v>0</v>
      </c>
      <c r="K140" s="79">
        <f>K141</f>
        <v>0</v>
      </c>
      <c r="L140" s="105">
        <f t="shared" si="4"/>
        <v>0</v>
      </c>
      <c r="M140" s="95"/>
      <c r="N140" s="95"/>
      <c r="O140" s="95"/>
    </row>
    <row r="141" spans="2:15" ht="25.5" hidden="1">
      <c r="B141" s="131" t="s">
        <v>766</v>
      </c>
      <c r="C141" s="77" t="s">
        <v>637</v>
      </c>
      <c r="D141" s="78" t="s">
        <v>643</v>
      </c>
      <c r="E141" s="78" t="s">
        <v>670</v>
      </c>
      <c r="F141" s="77">
        <v>200</v>
      </c>
      <c r="G141" s="79"/>
      <c r="H141" s="79">
        <v>0</v>
      </c>
      <c r="I141" s="79">
        <f t="shared" si="2"/>
        <v>0</v>
      </c>
      <c r="J141" s="79"/>
      <c r="K141" s="71">
        <v>0</v>
      </c>
      <c r="L141" s="105">
        <f t="shared" si="4"/>
        <v>0</v>
      </c>
      <c r="M141" s="95"/>
      <c r="N141" s="95"/>
      <c r="O141" s="95"/>
    </row>
    <row r="142" spans="2:15" ht="24" customHeight="1" hidden="1">
      <c r="B142" s="131" t="s">
        <v>1076</v>
      </c>
      <c r="C142" s="77" t="s">
        <v>637</v>
      </c>
      <c r="D142" s="78" t="s">
        <v>643</v>
      </c>
      <c r="E142" s="78" t="s">
        <v>1077</v>
      </c>
      <c r="F142" s="77"/>
      <c r="G142" s="79">
        <f>G143+G144</f>
        <v>3447299</v>
      </c>
      <c r="H142" s="79">
        <f>H143+H144</f>
        <v>-3447299</v>
      </c>
      <c r="I142" s="79">
        <f t="shared" si="2"/>
        <v>0</v>
      </c>
      <c r="J142" s="79">
        <f>J143+J144</f>
        <v>0</v>
      </c>
      <c r="K142" s="79">
        <f>K143</f>
        <v>0</v>
      </c>
      <c r="L142" s="105">
        <f t="shared" si="4"/>
        <v>0</v>
      </c>
      <c r="M142" s="95"/>
      <c r="N142" s="95"/>
      <c r="O142" s="95"/>
    </row>
    <row r="143" spans="2:15" ht="25.5">
      <c r="B143" s="131" t="s">
        <v>766</v>
      </c>
      <c r="C143" s="77" t="s">
        <v>637</v>
      </c>
      <c r="D143" s="78" t="s">
        <v>643</v>
      </c>
      <c r="E143" s="78" t="s">
        <v>1077</v>
      </c>
      <c r="F143" s="77" t="s">
        <v>971</v>
      </c>
      <c r="G143" s="79">
        <v>3238299</v>
      </c>
      <c r="H143" s="79">
        <v>-3238299</v>
      </c>
      <c r="I143" s="79">
        <f t="shared" si="2"/>
        <v>0</v>
      </c>
      <c r="J143" s="79">
        <v>0</v>
      </c>
      <c r="K143" s="71">
        <v>0</v>
      </c>
      <c r="L143" s="105">
        <f aca="true" t="shared" si="6" ref="L143:L206">J143+K143</f>
        <v>0</v>
      </c>
      <c r="M143" s="95"/>
      <c r="N143" s="95"/>
      <c r="O143" s="95"/>
    </row>
    <row r="144" spans="2:15" ht="12.75">
      <c r="B144" s="131" t="s">
        <v>769</v>
      </c>
      <c r="C144" s="77" t="s">
        <v>637</v>
      </c>
      <c r="D144" s="78" t="s">
        <v>643</v>
      </c>
      <c r="E144" s="78" t="s">
        <v>1077</v>
      </c>
      <c r="F144" s="77" t="s">
        <v>967</v>
      </c>
      <c r="G144" s="79">
        <f>159000+50000</f>
        <v>209000</v>
      </c>
      <c r="H144" s="79">
        <v>-209000</v>
      </c>
      <c r="I144" s="79">
        <f t="shared" si="2"/>
        <v>0</v>
      </c>
      <c r="J144" s="79">
        <v>0</v>
      </c>
      <c r="K144" s="79">
        <f>K145+K146</f>
        <v>0</v>
      </c>
      <c r="L144" s="105">
        <f t="shared" si="6"/>
        <v>0</v>
      </c>
      <c r="M144" s="95"/>
      <c r="N144" s="95"/>
      <c r="O144" s="95"/>
    </row>
    <row r="145" spans="2:15" ht="25.5">
      <c r="B145" s="131" t="s">
        <v>1167</v>
      </c>
      <c r="C145" s="77" t="s">
        <v>637</v>
      </c>
      <c r="D145" s="78" t="s">
        <v>643</v>
      </c>
      <c r="E145" s="78" t="s">
        <v>1168</v>
      </c>
      <c r="F145" s="77"/>
      <c r="G145" s="79">
        <f>G146</f>
        <v>0</v>
      </c>
      <c r="H145" s="79">
        <f>H146</f>
        <v>14164338</v>
      </c>
      <c r="I145" s="79">
        <f t="shared" si="2"/>
        <v>14164338</v>
      </c>
      <c r="J145" s="79">
        <f>J146</f>
        <v>14164338</v>
      </c>
      <c r="K145" s="71">
        <v>0</v>
      </c>
      <c r="L145" s="105">
        <f t="shared" si="6"/>
        <v>14164338</v>
      </c>
      <c r="M145" s="95"/>
      <c r="N145" s="95"/>
      <c r="O145" s="95"/>
    </row>
    <row r="146" spans="2:15" ht="38.25">
      <c r="B146" s="131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G148</f>
        <v>0</v>
      </c>
      <c r="H146" s="79">
        <f>H148</f>
        <v>14164338</v>
      </c>
      <c r="I146" s="79">
        <f t="shared" si="2"/>
        <v>14164338</v>
      </c>
      <c r="J146" s="79">
        <f>J148</f>
        <v>14164338</v>
      </c>
      <c r="K146" s="71">
        <v>0</v>
      </c>
      <c r="L146" s="105">
        <f t="shared" si="6"/>
        <v>14164338</v>
      </c>
      <c r="M146" s="95"/>
      <c r="N146" s="95"/>
      <c r="O146" s="95"/>
    </row>
    <row r="147" spans="2:15" ht="28.5" customHeight="1">
      <c r="B147" s="131" t="s">
        <v>1171</v>
      </c>
      <c r="C147" s="77" t="s">
        <v>637</v>
      </c>
      <c r="D147" s="78" t="s">
        <v>643</v>
      </c>
      <c r="E147" s="78" t="s">
        <v>1172</v>
      </c>
      <c r="F147" s="77"/>
      <c r="G147" s="79">
        <f>G148</f>
        <v>0</v>
      </c>
      <c r="H147" s="79">
        <f>H148</f>
        <v>14164338</v>
      </c>
      <c r="I147" s="79">
        <f t="shared" si="2"/>
        <v>14164338</v>
      </c>
      <c r="J147" s="79">
        <f>J148</f>
        <v>14164338</v>
      </c>
      <c r="K147" s="79">
        <f>K148</f>
        <v>0</v>
      </c>
      <c r="L147" s="105">
        <f t="shared" si="6"/>
        <v>14164338</v>
      </c>
      <c r="M147" s="95"/>
      <c r="N147" s="95"/>
      <c r="O147" s="95"/>
    </row>
    <row r="148" spans="2:15" s="64" customFormat="1" ht="25.5">
      <c r="B148" s="131" t="s">
        <v>1173</v>
      </c>
      <c r="C148" s="77" t="s">
        <v>637</v>
      </c>
      <c r="D148" s="78" t="s">
        <v>643</v>
      </c>
      <c r="E148" s="78" t="s">
        <v>1323</v>
      </c>
      <c r="F148" s="77"/>
      <c r="G148" s="79">
        <f>G149+G150+G151</f>
        <v>0</v>
      </c>
      <c r="H148" s="79">
        <f>H149+H150+H151</f>
        <v>14164338</v>
      </c>
      <c r="I148" s="79">
        <f t="shared" si="2"/>
        <v>14164338</v>
      </c>
      <c r="J148" s="79">
        <f>J149+J150+J151</f>
        <v>14164338</v>
      </c>
      <c r="K148" s="71">
        <f>K149</f>
        <v>0</v>
      </c>
      <c r="L148" s="105">
        <f t="shared" si="6"/>
        <v>14164338</v>
      </c>
      <c r="M148" s="95"/>
      <c r="N148" s="95"/>
      <c r="O148" s="95"/>
    </row>
    <row r="149" spans="2:15" s="64" customFormat="1" ht="51">
      <c r="B149" s="131" t="s">
        <v>765</v>
      </c>
      <c r="C149" s="77" t="s">
        <v>637</v>
      </c>
      <c r="D149" s="78" t="s">
        <v>643</v>
      </c>
      <c r="E149" s="78" t="s">
        <v>1323</v>
      </c>
      <c r="F149" s="77" t="s">
        <v>733</v>
      </c>
      <c r="G149" s="79"/>
      <c r="H149" s="79">
        <f>10878893+3285445</f>
        <v>14164338</v>
      </c>
      <c r="I149" s="79">
        <f t="shared" si="2"/>
        <v>14164338</v>
      </c>
      <c r="J149" s="79">
        <f>10878893+3285445</f>
        <v>14164338</v>
      </c>
      <c r="K149" s="71">
        <v>0</v>
      </c>
      <c r="L149" s="105">
        <f t="shared" si="6"/>
        <v>14164338</v>
      </c>
      <c r="M149" s="95"/>
      <c r="N149" s="95"/>
      <c r="O149" s="95"/>
    </row>
    <row r="150" spans="2:15" s="64" customFormat="1" ht="39.75" customHeight="1" hidden="1">
      <c r="B150" s="131" t="s">
        <v>766</v>
      </c>
      <c r="C150" s="77" t="s">
        <v>637</v>
      </c>
      <c r="D150" s="78" t="s">
        <v>643</v>
      </c>
      <c r="E150" s="78" t="s">
        <v>1323</v>
      </c>
      <c r="F150" s="77" t="s">
        <v>971</v>
      </c>
      <c r="G150" s="79">
        <v>0</v>
      </c>
      <c r="H150" s="79">
        <v>0</v>
      </c>
      <c r="I150" s="79">
        <f t="shared" si="2"/>
        <v>0</v>
      </c>
      <c r="J150" s="79">
        <v>0</v>
      </c>
      <c r="K150" s="71">
        <f>K151</f>
        <v>0</v>
      </c>
      <c r="L150" s="105">
        <f t="shared" si="6"/>
        <v>0</v>
      </c>
      <c r="M150" s="95"/>
      <c r="N150" s="95"/>
      <c r="O150" s="95"/>
    </row>
    <row r="151" spans="2:15" s="64" customFormat="1" ht="30" customHeight="1" hidden="1">
      <c r="B151" s="88" t="s">
        <v>769</v>
      </c>
      <c r="C151" s="77" t="s">
        <v>637</v>
      </c>
      <c r="D151" s="78" t="s">
        <v>643</v>
      </c>
      <c r="E151" s="78" t="s">
        <v>1323</v>
      </c>
      <c r="F151" s="77" t="s">
        <v>967</v>
      </c>
      <c r="G151" s="79">
        <v>0</v>
      </c>
      <c r="H151" s="79">
        <v>0</v>
      </c>
      <c r="I151" s="79">
        <f t="shared" si="2"/>
        <v>0</v>
      </c>
      <c r="J151" s="79">
        <v>0</v>
      </c>
      <c r="K151" s="71">
        <f>K152+K153</f>
        <v>0</v>
      </c>
      <c r="L151" s="105">
        <f t="shared" si="6"/>
        <v>0</v>
      </c>
      <c r="M151" s="95"/>
      <c r="N151" s="95"/>
      <c r="O151" s="95"/>
    </row>
    <row r="152" spans="2:15" s="64" customFormat="1" ht="12.75">
      <c r="B152" s="131" t="s">
        <v>807</v>
      </c>
      <c r="C152" s="77" t="s">
        <v>637</v>
      </c>
      <c r="D152" s="78" t="s">
        <v>643</v>
      </c>
      <c r="E152" s="78" t="s">
        <v>783</v>
      </c>
      <c r="F152" s="77"/>
      <c r="G152" s="79">
        <f>G153+G159+G161+G165+G168+G156+G171</f>
        <v>8294918</v>
      </c>
      <c r="H152" s="79">
        <f>H153+H159+H161+H165+H168+H156+H171</f>
        <v>-7309818</v>
      </c>
      <c r="I152" s="79">
        <f t="shared" si="2"/>
        <v>985100</v>
      </c>
      <c r="J152" s="79">
        <f>J153+J159+J161+J165+J168+J156+J171</f>
        <v>940700</v>
      </c>
      <c r="K152" s="71">
        <v>0</v>
      </c>
      <c r="L152" s="105">
        <f t="shared" si="6"/>
        <v>940700</v>
      </c>
      <c r="M152" s="95"/>
      <c r="N152" s="95"/>
      <c r="O152" s="95"/>
    </row>
    <row r="153" spans="2:15" s="64" customFormat="1" ht="25.5">
      <c r="B153" s="131" t="s">
        <v>941</v>
      </c>
      <c r="C153" s="77" t="s">
        <v>637</v>
      </c>
      <c r="D153" s="78" t="s">
        <v>643</v>
      </c>
      <c r="E153" s="78" t="s">
        <v>671</v>
      </c>
      <c r="F153" s="77"/>
      <c r="G153" s="79">
        <f>G155+G154</f>
        <v>100</v>
      </c>
      <c r="H153" s="79">
        <f>H155+H154</f>
        <v>56100</v>
      </c>
      <c r="I153" s="79">
        <f t="shared" si="2"/>
        <v>56200</v>
      </c>
      <c r="J153" s="79">
        <f>J155+J154</f>
        <v>56200</v>
      </c>
      <c r="K153" s="71">
        <v>0</v>
      </c>
      <c r="L153" s="105">
        <f t="shared" si="6"/>
        <v>56200</v>
      </c>
      <c r="M153" s="95"/>
      <c r="N153" s="95"/>
      <c r="O153" s="95"/>
    </row>
    <row r="154" spans="2:15" ht="48">
      <c r="B154" s="88" t="s">
        <v>765</v>
      </c>
      <c r="C154" s="77" t="s">
        <v>637</v>
      </c>
      <c r="D154" s="78" t="s">
        <v>643</v>
      </c>
      <c r="E154" s="78" t="s">
        <v>671</v>
      </c>
      <c r="F154" s="77" t="s">
        <v>733</v>
      </c>
      <c r="G154" s="79">
        <v>0</v>
      </c>
      <c r="H154" s="79">
        <f>40297+12170</f>
        <v>52467</v>
      </c>
      <c r="I154" s="79">
        <f t="shared" si="2"/>
        <v>52467</v>
      </c>
      <c r="J154" s="79">
        <f>40297+12170</f>
        <v>52467</v>
      </c>
      <c r="K154" s="79">
        <f>K155</f>
        <v>0</v>
      </c>
      <c r="L154" s="105">
        <f t="shared" si="6"/>
        <v>52467</v>
      </c>
      <c r="M154" s="95"/>
      <c r="N154" s="95"/>
      <c r="O154" s="95"/>
    </row>
    <row r="155" spans="2:15" ht="25.5">
      <c r="B155" s="131" t="s">
        <v>766</v>
      </c>
      <c r="C155" s="77" t="s">
        <v>637</v>
      </c>
      <c r="D155" s="78" t="s">
        <v>643</v>
      </c>
      <c r="E155" s="78" t="s">
        <v>671</v>
      </c>
      <c r="F155" s="77">
        <v>200</v>
      </c>
      <c r="G155" s="79">
        <v>100</v>
      </c>
      <c r="H155" s="79">
        <f>-100+1733+2000</f>
        <v>3633</v>
      </c>
      <c r="I155" s="79">
        <f t="shared" si="2"/>
        <v>3733</v>
      </c>
      <c r="J155" s="79">
        <f>1733+2000</f>
        <v>3733</v>
      </c>
      <c r="K155" s="79">
        <f>K157</f>
        <v>0</v>
      </c>
      <c r="L155" s="105">
        <f t="shared" si="6"/>
        <v>3733</v>
      </c>
      <c r="M155" s="95"/>
      <c r="N155" s="95"/>
      <c r="O155" s="95"/>
    </row>
    <row r="156" spans="2:15" ht="38.25">
      <c r="B156" s="131" t="s">
        <v>1174</v>
      </c>
      <c r="C156" s="77" t="s">
        <v>637</v>
      </c>
      <c r="D156" s="78" t="s">
        <v>643</v>
      </c>
      <c r="E156" s="78" t="s">
        <v>1175</v>
      </c>
      <c r="F156" s="77"/>
      <c r="G156" s="79">
        <f>G157+G158</f>
        <v>0</v>
      </c>
      <c r="H156" s="79">
        <f>H157+H158</f>
        <v>672600</v>
      </c>
      <c r="I156" s="79">
        <f t="shared" si="2"/>
        <v>672600</v>
      </c>
      <c r="J156" s="79">
        <f>J157+J158</f>
        <v>628200</v>
      </c>
      <c r="K156" s="79">
        <f>K157</f>
        <v>0</v>
      </c>
      <c r="L156" s="105">
        <f t="shared" si="6"/>
        <v>628200</v>
      </c>
      <c r="M156" s="95"/>
      <c r="N156" s="95"/>
      <c r="O156" s="95"/>
    </row>
    <row r="157" spans="2:15" ht="51">
      <c r="B157" s="131" t="s">
        <v>765</v>
      </c>
      <c r="C157" s="77" t="s">
        <v>637</v>
      </c>
      <c r="D157" s="78" t="s">
        <v>643</v>
      </c>
      <c r="E157" s="78" t="s">
        <v>1175</v>
      </c>
      <c r="F157" s="77" t="s">
        <v>733</v>
      </c>
      <c r="G157" s="79">
        <v>0</v>
      </c>
      <c r="H157" s="79">
        <f>509804+8835+153961</f>
        <v>672600</v>
      </c>
      <c r="I157" s="79">
        <f t="shared" si="2"/>
        <v>672600</v>
      </c>
      <c r="J157" s="79">
        <f>482488+145712</f>
        <v>628200</v>
      </c>
      <c r="K157" s="79">
        <f>K158</f>
        <v>0</v>
      </c>
      <c r="L157" s="105">
        <f t="shared" si="6"/>
        <v>628200</v>
      </c>
      <c r="M157" s="95"/>
      <c r="N157" s="95"/>
      <c r="O157" s="95"/>
    </row>
    <row r="158" spans="2:15" ht="25.5" hidden="1">
      <c r="B158" s="131" t="s">
        <v>766</v>
      </c>
      <c r="C158" s="77" t="s">
        <v>637</v>
      </c>
      <c r="D158" s="78" t="s">
        <v>643</v>
      </c>
      <c r="E158" s="78" t="s">
        <v>1175</v>
      </c>
      <c r="F158" s="77" t="s">
        <v>971</v>
      </c>
      <c r="G158" s="79">
        <v>0</v>
      </c>
      <c r="H158" s="79">
        <v>0</v>
      </c>
      <c r="I158" s="79">
        <f t="shared" si="2"/>
        <v>0</v>
      </c>
      <c r="J158" s="79">
        <v>0</v>
      </c>
      <c r="K158" s="71">
        <v>0</v>
      </c>
      <c r="L158" s="105">
        <f t="shared" si="6"/>
        <v>0</v>
      </c>
      <c r="M158" s="95"/>
      <c r="N158" s="95"/>
      <c r="O158" s="95"/>
    </row>
    <row r="159" spans="2:15" ht="38.25">
      <c r="B159" s="131" t="s">
        <v>943</v>
      </c>
      <c r="C159" s="77" t="s">
        <v>637</v>
      </c>
      <c r="D159" s="78" t="s">
        <v>643</v>
      </c>
      <c r="E159" s="78" t="s">
        <v>672</v>
      </c>
      <c r="F159" s="77"/>
      <c r="G159" s="79">
        <f>G160</f>
        <v>59100</v>
      </c>
      <c r="H159" s="79">
        <f>H160</f>
        <v>300</v>
      </c>
      <c r="I159" s="79">
        <f t="shared" si="2"/>
        <v>59400</v>
      </c>
      <c r="J159" s="79">
        <f>J160</f>
        <v>59400</v>
      </c>
      <c r="K159" s="79">
        <f>K160+K173</f>
        <v>0</v>
      </c>
      <c r="L159" s="105">
        <f t="shared" si="6"/>
        <v>59400</v>
      </c>
      <c r="M159" s="95"/>
      <c r="N159" s="95"/>
      <c r="O159" s="95"/>
    </row>
    <row r="160" spans="2:15" ht="12.75" customHeight="1" hidden="1">
      <c r="B160" s="131" t="s">
        <v>766</v>
      </c>
      <c r="C160" s="77" t="s">
        <v>637</v>
      </c>
      <c r="D160" s="78" t="s">
        <v>643</v>
      </c>
      <c r="E160" s="78" t="s">
        <v>672</v>
      </c>
      <c r="F160" s="77">
        <v>200</v>
      </c>
      <c r="G160" s="79">
        <v>59100</v>
      </c>
      <c r="H160" s="79">
        <f>-59100+3150+16750+13200+20000+6300</f>
        <v>300</v>
      </c>
      <c r="I160" s="79">
        <f t="shared" si="2"/>
        <v>59400</v>
      </c>
      <c r="J160" s="79">
        <v>59400</v>
      </c>
      <c r="K160" s="79">
        <f>K161+K168</f>
        <v>0</v>
      </c>
      <c r="L160" s="105">
        <f t="shared" si="6"/>
        <v>59400</v>
      </c>
      <c r="M160" s="95"/>
      <c r="N160" s="95"/>
      <c r="O160" s="95"/>
    </row>
    <row r="161" spans="2:15" ht="24" customHeight="1" hidden="1">
      <c r="B161" s="131" t="s">
        <v>944</v>
      </c>
      <c r="C161" s="77" t="s">
        <v>637</v>
      </c>
      <c r="D161" s="78" t="s">
        <v>643</v>
      </c>
      <c r="E161" s="78" t="s">
        <v>673</v>
      </c>
      <c r="F161" s="77"/>
      <c r="G161" s="79">
        <f>G162+G163</f>
        <v>162600</v>
      </c>
      <c r="H161" s="79">
        <f>H162+H163</f>
        <v>34300</v>
      </c>
      <c r="I161" s="79">
        <f t="shared" si="2"/>
        <v>196900</v>
      </c>
      <c r="J161" s="79">
        <f>J162+J163</f>
        <v>196900</v>
      </c>
      <c r="K161" s="79">
        <f>K165+K162</f>
        <v>0</v>
      </c>
      <c r="L161" s="105">
        <f t="shared" si="6"/>
        <v>196900</v>
      </c>
      <c r="M161" s="95"/>
      <c r="N161" s="95"/>
      <c r="O161" s="95"/>
    </row>
    <row r="162" spans="2:15" s="64" customFormat="1" ht="12.75" customHeight="1" hidden="1">
      <c r="B162" s="131" t="s">
        <v>765</v>
      </c>
      <c r="C162" s="77" t="s">
        <v>637</v>
      </c>
      <c r="D162" s="78" t="s">
        <v>643</v>
      </c>
      <c r="E162" s="78" t="s">
        <v>673</v>
      </c>
      <c r="F162" s="77">
        <v>100</v>
      </c>
      <c r="G162" s="79">
        <v>148515</v>
      </c>
      <c r="H162" s="79">
        <f>-148515+151240+45660</f>
        <v>48385</v>
      </c>
      <c r="I162" s="79">
        <f t="shared" si="2"/>
        <v>196900</v>
      </c>
      <c r="J162" s="79">
        <f>151240+45660</f>
        <v>196900</v>
      </c>
      <c r="K162" s="71">
        <f>K163+K164</f>
        <v>0</v>
      </c>
      <c r="L162" s="105">
        <f t="shared" si="6"/>
        <v>196900</v>
      </c>
      <c r="M162" s="95"/>
      <c r="N162" s="95"/>
      <c r="O162" s="95"/>
    </row>
    <row r="163" spans="2:15" s="64" customFormat="1" ht="25.5">
      <c r="B163" s="131" t="s">
        <v>766</v>
      </c>
      <c r="C163" s="77" t="s">
        <v>637</v>
      </c>
      <c r="D163" s="78" t="s">
        <v>643</v>
      </c>
      <c r="E163" s="78" t="s">
        <v>673</v>
      </c>
      <c r="F163" s="77">
        <v>200</v>
      </c>
      <c r="G163" s="79">
        <v>14085</v>
      </c>
      <c r="H163" s="79">
        <v>-14085</v>
      </c>
      <c r="I163" s="79">
        <f t="shared" si="2"/>
        <v>0</v>
      </c>
      <c r="J163" s="79">
        <v>0</v>
      </c>
      <c r="K163" s="71">
        <v>0</v>
      </c>
      <c r="L163" s="105">
        <f t="shared" si="6"/>
        <v>0</v>
      </c>
      <c r="M163" s="95"/>
      <c r="N163" s="95"/>
      <c r="O163" s="95"/>
    </row>
    <row r="164" spans="2:15" s="64" customFormat="1" ht="25.5">
      <c r="B164" s="131" t="s">
        <v>1123</v>
      </c>
      <c r="C164" s="77" t="s">
        <v>637</v>
      </c>
      <c r="D164" s="78" t="s">
        <v>643</v>
      </c>
      <c r="E164" s="78" t="s">
        <v>732</v>
      </c>
      <c r="F164" s="77"/>
      <c r="G164" s="79">
        <f>G165</f>
        <v>545400</v>
      </c>
      <c r="H164" s="79">
        <f>H165</f>
        <v>-545400</v>
      </c>
      <c r="I164" s="79">
        <f>I165</f>
        <v>0</v>
      </c>
      <c r="J164" s="79">
        <f>J165</f>
        <v>0</v>
      </c>
      <c r="K164" s="71">
        <v>0</v>
      </c>
      <c r="L164" s="105">
        <f t="shared" si="6"/>
        <v>0</v>
      </c>
      <c r="M164" s="95"/>
      <c r="N164" s="95"/>
      <c r="O164" s="95"/>
    </row>
    <row r="165" spans="2:15" ht="25.5">
      <c r="B165" s="131" t="s">
        <v>811</v>
      </c>
      <c r="C165" s="77" t="s">
        <v>637</v>
      </c>
      <c r="D165" s="78" t="s">
        <v>643</v>
      </c>
      <c r="E165" s="78" t="s">
        <v>656</v>
      </c>
      <c r="F165" s="77"/>
      <c r="G165" s="79">
        <f>G166</f>
        <v>545400</v>
      </c>
      <c r="H165" s="79">
        <f>H166</f>
        <v>-545400</v>
      </c>
      <c r="I165" s="79">
        <f aca="true" t="shared" si="7" ref="I164:I238">G165+H165</f>
        <v>0</v>
      </c>
      <c r="J165" s="79">
        <f>J166</f>
        <v>0</v>
      </c>
      <c r="K165" s="71">
        <f>K166+K167</f>
        <v>0</v>
      </c>
      <c r="L165" s="105">
        <f t="shared" si="6"/>
        <v>0</v>
      </c>
      <c r="M165" s="95"/>
      <c r="N165" s="95"/>
      <c r="O165" s="95"/>
    </row>
    <row r="166" spans="2:15" ht="51">
      <c r="B166" s="131" t="s">
        <v>765</v>
      </c>
      <c r="C166" s="77" t="s">
        <v>637</v>
      </c>
      <c r="D166" s="78" t="s">
        <v>643</v>
      </c>
      <c r="E166" s="78" t="s">
        <v>656</v>
      </c>
      <c r="F166" s="77" t="s">
        <v>733</v>
      </c>
      <c r="G166" s="79">
        <v>545400</v>
      </c>
      <c r="H166" s="79">
        <v>-545400</v>
      </c>
      <c r="I166" s="79">
        <f t="shared" si="7"/>
        <v>0</v>
      </c>
      <c r="J166" s="79">
        <v>0</v>
      </c>
      <c r="K166" s="71">
        <v>0</v>
      </c>
      <c r="L166" s="105">
        <f t="shared" si="6"/>
        <v>0</v>
      </c>
      <c r="M166" s="95"/>
      <c r="N166" s="95"/>
      <c r="O166" s="95"/>
    </row>
    <row r="167" spans="2:15" ht="38.25">
      <c r="B167" s="131" t="s">
        <v>1137</v>
      </c>
      <c r="C167" s="77" t="s">
        <v>637</v>
      </c>
      <c r="D167" s="78" t="s">
        <v>643</v>
      </c>
      <c r="E167" s="78" t="s">
        <v>1122</v>
      </c>
      <c r="F167" s="77"/>
      <c r="G167" s="79">
        <f>G168</f>
        <v>7527718</v>
      </c>
      <c r="H167" s="79">
        <f>H168</f>
        <v>-7527718</v>
      </c>
      <c r="I167" s="79">
        <f t="shared" si="7"/>
        <v>0</v>
      </c>
      <c r="J167" s="79">
        <f>J168</f>
        <v>0</v>
      </c>
      <c r="K167" s="71">
        <v>0</v>
      </c>
      <c r="L167" s="105">
        <f t="shared" si="6"/>
        <v>0</v>
      </c>
      <c r="M167" s="95"/>
      <c r="N167" s="95"/>
      <c r="O167" s="95"/>
    </row>
    <row r="168" spans="2:15" ht="12.75" customHeight="1">
      <c r="B168" s="131" t="s">
        <v>1138</v>
      </c>
      <c r="C168" s="77" t="s">
        <v>637</v>
      </c>
      <c r="D168" s="78" t="s">
        <v>643</v>
      </c>
      <c r="E168" s="78" t="s">
        <v>1099</v>
      </c>
      <c r="F168" s="77"/>
      <c r="G168" s="79">
        <f>G169+G170</f>
        <v>7527718</v>
      </c>
      <c r="H168" s="79">
        <f>H169+H170</f>
        <v>-7527718</v>
      </c>
      <c r="I168" s="79">
        <f t="shared" si="7"/>
        <v>0</v>
      </c>
      <c r="J168" s="79">
        <f>J169+J170</f>
        <v>0</v>
      </c>
      <c r="K168" s="79">
        <f>K169</f>
        <v>0</v>
      </c>
      <c r="L168" s="105">
        <f t="shared" si="6"/>
        <v>0</v>
      </c>
      <c r="M168" s="95"/>
      <c r="N168" s="95"/>
      <c r="O168" s="95"/>
    </row>
    <row r="169" spans="2:15" ht="24" customHeight="1">
      <c r="B169" s="131" t="s">
        <v>765</v>
      </c>
      <c r="C169" s="77" t="s">
        <v>637</v>
      </c>
      <c r="D169" s="78" t="s">
        <v>643</v>
      </c>
      <c r="E169" s="78" t="s">
        <v>1099</v>
      </c>
      <c r="F169" s="77" t="s">
        <v>733</v>
      </c>
      <c r="G169" s="79">
        <f>7119730+407988</f>
        <v>7527718</v>
      </c>
      <c r="H169" s="79">
        <v>-7527718</v>
      </c>
      <c r="I169" s="79">
        <f t="shared" si="7"/>
        <v>0</v>
      </c>
      <c r="J169" s="79">
        <v>0</v>
      </c>
      <c r="K169" s="79">
        <f>K170+K171+K172</f>
        <v>0</v>
      </c>
      <c r="L169" s="105">
        <f t="shared" si="6"/>
        <v>0</v>
      </c>
      <c r="M169" s="95"/>
      <c r="N169" s="95"/>
      <c r="O169" s="95"/>
    </row>
    <row r="170" spans="2:15" ht="25.5" hidden="1">
      <c r="B170" s="131" t="s">
        <v>766</v>
      </c>
      <c r="C170" s="77" t="s">
        <v>637</v>
      </c>
      <c r="D170" s="78" t="s">
        <v>643</v>
      </c>
      <c r="E170" s="78" t="s">
        <v>1099</v>
      </c>
      <c r="F170" s="77" t="s">
        <v>971</v>
      </c>
      <c r="G170" s="79"/>
      <c r="H170" s="79">
        <v>0</v>
      </c>
      <c r="I170" s="79">
        <f t="shared" si="7"/>
        <v>0</v>
      </c>
      <c r="J170" s="79"/>
      <c r="K170" s="71">
        <v>0</v>
      </c>
      <c r="L170" s="105">
        <f t="shared" si="6"/>
        <v>0</v>
      </c>
      <c r="M170" s="95"/>
      <c r="N170" s="95"/>
      <c r="O170" s="95"/>
    </row>
    <row r="171" spans="2:15" ht="24" hidden="1">
      <c r="B171" s="88" t="s">
        <v>813</v>
      </c>
      <c r="C171" s="77" t="s">
        <v>637</v>
      </c>
      <c r="D171" s="78" t="s">
        <v>643</v>
      </c>
      <c r="E171" s="78" t="s">
        <v>1312</v>
      </c>
      <c r="F171" s="77"/>
      <c r="G171" s="79">
        <f>G172</f>
        <v>0</v>
      </c>
      <c r="H171" s="79">
        <f>H172</f>
        <v>0</v>
      </c>
      <c r="I171" s="79">
        <f t="shared" si="7"/>
        <v>0</v>
      </c>
      <c r="J171" s="79">
        <f>J172</f>
        <v>0</v>
      </c>
      <c r="K171" s="71">
        <v>0</v>
      </c>
      <c r="L171" s="105">
        <f t="shared" si="6"/>
        <v>0</v>
      </c>
      <c r="M171" s="95"/>
      <c r="N171" s="95"/>
      <c r="O171" s="95"/>
    </row>
    <row r="172" spans="2:15" ht="48" hidden="1">
      <c r="B172" s="88" t="s">
        <v>765</v>
      </c>
      <c r="C172" s="77" t="s">
        <v>637</v>
      </c>
      <c r="D172" s="78" t="s">
        <v>643</v>
      </c>
      <c r="E172" s="78" t="s">
        <v>1312</v>
      </c>
      <c r="F172" s="77" t="s">
        <v>733</v>
      </c>
      <c r="G172" s="79">
        <v>0</v>
      </c>
      <c r="H172" s="79">
        <v>0</v>
      </c>
      <c r="I172" s="79">
        <f t="shared" si="7"/>
        <v>0</v>
      </c>
      <c r="J172" s="79">
        <v>0</v>
      </c>
      <c r="K172" s="71">
        <v>0</v>
      </c>
      <c r="L172" s="105">
        <f t="shared" si="6"/>
        <v>0</v>
      </c>
      <c r="M172" s="95"/>
      <c r="N172" s="95"/>
      <c r="O172" s="95"/>
    </row>
    <row r="173" spans="1:15" ht="12.75">
      <c r="A173" s="80"/>
      <c r="B173" s="130" t="s">
        <v>950</v>
      </c>
      <c r="C173" s="117" t="s">
        <v>638</v>
      </c>
      <c r="D173" s="128"/>
      <c r="E173" s="128"/>
      <c r="F173" s="117"/>
      <c r="G173" s="129">
        <f>G174</f>
        <v>607700</v>
      </c>
      <c r="H173" s="129">
        <f>H174</f>
        <v>526100</v>
      </c>
      <c r="I173" s="129">
        <f>G173+H173</f>
        <v>1133800</v>
      </c>
      <c r="J173" s="129">
        <f>J174</f>
        <v>1133800</v>
      </c>
      <c r="K173" s="79">
        <f>K174+K184+K181</f>
        <v>0</v>
      </c>
      <c r="L173" s="105">
        <f t="shared" si="6"/>
        <v>1133800</v>
      </c>
      <c r="M173" s="95"/>
      <c r="N173" s="95"/>
      <c r="O173" s="95"/>
    </row>
    <row r="174" spans="1:15" s="64" customFormat="1" ht="12.75">
      <c r="A174" s="67"/>
      <c r="B174" s="130" t="s">
        <v>395</v>
      </c>
      <c r="C174" s="117" t="s">
        <v>638</v>
      </c>
      <c r="D174" s="128" t="s">
        <v>639</v>
      </c>
      <c r="E174" s="128"/>
      <c r="F174" s="117"/>
      <c r="G174" s="129">
        <f>G176</f>
        <v>607700</v>
      </c>
      <c r="H174" s="129">
        <f>H176</f>
        <v>526100</v>
      </c>
      <c r="I174" s="129">
        <f>G174+H174</f>
        <v>1133800</v>
      </c>
      <c r="J174" s="129">
        <f>J176</f>
        <v>1133800</v>
      </c>
      <c r="K174" s="71">
        <f>K175+K177+K179</f>
        <v>0</v>
      </c>
      <c r="L174" s="105">
        <f t="shared" si="6"/>
        <v>1133800</v>
      </c>
      <c r="M174" s="95"/>
      <c r="N174" s="95"/>
      <c r="O174" s="95"/>
    </row>
    <row r="175" spans="1:15" s="64" customFormat="1" ht="12.75">
      <c r="A175" s="67"/>
      <c r="B175" s="131" t="s">
        <v>807</v>
      </c>
      <c r="C175" s="77" t="s">
        <v>638</v>
      </c>
      <c r="D175" s="78" t="s">
        <v>639</v>
      </c>
      <c r="E175" s="78" t="s">
        <v>783</v>
      </c>
      <c r="F175" s="77"/>
      <c r="G175" s="79">
        <f>G176</f>
        <v>607700</v>
      </c>
      <c r="H175" s="79">
        <f>H176</f>
        <v>526100</v>
      </c>
      <c r="I175" s="79">
        <f>G175+H175</f>
        <v>1133800</v>
      </c>
      <c r="J175" s="79">
        <f>J176</f>
        <v>1133800</v>
      </c>
      <c r="K175" s="71">
        <f>K176</f>
        <v>0</v>
      </c>
      <c r="L175" s="105">
        <f t="shared" si="6"/>
        <v>1133800</v>
      </c>
      <c r="M175" s="95"/>
      <c r="N175" s="95"/>
      <c r="O175" s="95"/>
    </row>
    <row r="176" spans="1:15" s="64" customFormat="1" ht="24" customHeight="1">
      <c r="A176" s="67"/>
      <c r="B176" s="131" t="s">
        <v>945</v>
      </c>
      <c r="C176" s="77" t="s">
        <v>638</v>
      </c>
      <c r="D176" s="78" t="s">
        <v>639</v>
      </c>
      <c r="E176" s="78" t="s">
        <v>725</v>
      </c>
      <c r="F176" s="77"/>
      <c r="G176" s="79">
        <f>G177</f>
        <v>607700</v>
      </c>
      <c r="H176" s="79">
        <f>H177</f>
        <v>526100</v>
      </c>
      <c r="I176" s="79">
        <f>G176+H176</f>
        <v>1133800</v>
      </c>
      <c r="J176" s="79">
        <f>J177</f>
        <v>1133800</v>
      </c>
      <c r="K176" s="71">
        <v>0</v>
      </c>
      <c r="L176" s="105">
        <f t="shared" si="6"/>
        <v>1133800</v>
      </c>
      <c r="M176" s="95"/>
      <c r="N176" s="95"/>
      <c r="O176" s="95"/>
    </row>
    <row r="177" spans="1:15" s="64" customFormat="1" ht="12.75">
      <c r="A177" s="67"/>
      <c r="B177" s="131" t="s">
        <v>768</v>
      </c>
      <c r="C177" s="77" t="s">
        <v>638</v>
      </c>
      <c r="D177" s="78" t="s">
        <v>639</v>
      </c>
      <c r="E177" s="78" t="s">
        <v>725</v>
      </c>
      <c r="F177" s="77">
        <v>500</v>
      </c>
      <c r="G177" s="79">
        <v>607700</v>
      </c>
      <c r="H177" s="79">
        <f>-607700+1133800</f>
        <v>526100</v>
      </c>
      <c r="I177" s="79">
        <f>G177+H177</f>
        <v>1133800</v>
      </c>
      <c r="J177" s="79">
        <v>1133800</v>
      </c>
      <c r="K177" s="71">
        <f>K178</f>
        <v>0</v>
      </c>
      <c r="L177" s="105">
        <f t="shared" si="6"/>
        <v>1133800</v>
      </c>
      <c r="M177" s="95"/>
      <c r="N177" s="95"/>
      <c r="O177" s="95"/>
    </row>
    <row r="178" spans="1:15" s="64" customFormat="1" ht="25.5">
      <c r="A178" s="67"/>
      <c r="B178" s="130" t="s">
        <v>955</v>
      </c>
      <c r="C178" s="117" t="s">
        <v>639</v>
      </c>
      <c r="D178" s="128"/>
      <c r="E178" s="128"/>
      <c r="F178" s="117"/>
      <c r="G178" s="129">
        <f>G179+G192</f>
        <v>3518467</v>
      </c>
      <c r="H178" s="129">
        <f>H179+H192</f>
        <v>120633</v>
      </c>
      <c r="I178" s="129">
        <f t="shared" si="7"/>
        <v>3639100</v>
      </c>
      <c r="J178" s="129">
        <f>J179+J192</f>
        <v>3639100</v>
      </c>
      <c r="K178" s="71"/>
      <c r="L178" s="105">
        <f t="shared" si="6"/>
        <v>3639100</v>
      </c>
      <c r="M178" s="95"/>
      <c r="N178" s="95"/>
      <c r="O178" s="95"/>
    </row>
    <row r="179" spans="1:15" s="64" customFormat="1" ht="25.5">
      <c r="A179" s="67"/>
      <c r="B179" s="130" t="s">
        <v>946</v>
      </c>
      <c r="C179" s="117" t="s">
        <v>639</v>
      </c>
      <c r="D179" s="128" t="s">
        <v>644</v>
      </c>
      <c r="E179" s="128"/>
      <c r="F179" s="117"/>
      <c r="G179" s="129">
        <f>G187+G181</f>
        <v>3518467</v>
      </c>
      <c r="H179" s="129">
        <f>H187+H181</f>
        <v>120633</v>
      </c>
      <c r="I179" s="129">
        <f t="shared" si="7"/>
        <v>3639100</v>
      </c>
      <c r="J179" s="129">
        <f>J187+J181</f>
        <v>3639100</v>
      </c>
      <c r="K179" s="71">
        <f>K180</f>
        <v>0</v>
      </c>
      <c r="L179" s="105">
        <f t="shared" si="6"/>
        <v>3639100</v>
      </c>
      <c r="M179" s="95"/>
      <c r="N179" s="95"/>
      <c r="O179" s="95"/>
    </row>
    <row r="180" spans="1:15" s="64" customFormat="1" ht="38.25">
      <c r="A180" s="67"/>
      <c r="B180" s="131" t="s">
        <v>1176</v>
      </c>
      <c r="C180" s="77" t="s">
        <v>639</v>
      </c>
      <c r="D180" s="78" t="s">
        <v>644</v>
      </c>
      <c r="E180" s="78" t="s">
        <v>1177</v>
      </c>
      <c r="F180" s="77"/>
      <c r="G180" s="79">
        <f>G181</f>
        <v>0</v>
      </c>
      <c r="H180" s="79">
        <f>H181</f>
        <v>3639100</v>
      </c>
      <c r="I180" s="79">
        <f t="shared" si="7"/>
        <v>3639100</v>
      </c>
      <c r="J180" s="79">
        <f>J181</f>
        <v>3639100</v>
      </c>
      <c r="K180" s="71">
        <v>0</v>
      </c>
      <c r="L180" s="105">
        <f t="shared" si="6"/>
        <v>3639100</v>
      </c>
      <c r="M180" s="95"/>
      <c r="N180" s="95"/>
      <c r="O180" s="95"/>
    </row>
    <row r="181" spans="1:15" s="64" customFormat="1" ht="38.25">
      <c r="A181" s="67"/>
      <c r="B181" s="131" t="s">
        <v>1178</v>
      </c>
      <c r="C181" s="77" t="s">
        <v>639</v>
      </c>
      <c r="D181" s="78" t="s">
        <v>644</v>
      </c>
      <c r="E181" s="78" t="s">
        <v>1179</v>
      </c>
      <c r="F181" s="77"/>
      <c r="G181" s="79">
        <f>G183</f>
        <v>0</v>
      </c>
      <c r="H181" s="79">
        <f>H183</f>
        <v>3639100</v>
      </c>
      <c r="I181" s="79">
        <f t="shared" si="7"/>
        <v>3639100</v>
      </c>
      <c r="J181" s="79">
        <f>J183</f>
        <v>3639100</v>
      </c>
      <c r="K181" s="71">
        <f>K182</f>
        <v>0</v>
      </c>
      <c r="L181" s="105">
        <f t="shared" si="6"/>
        <v>3639100</v>
      </c>
      <c r="M181" s="95"/>
      <c r="N181" s="95"/>
      <c r="O181" s="95"/>
    </row>
    <row r="182" spans="1:15" s="64" customFormat="1" ht="25.5">
      <c r="A182" s="67"/>
      <c r="B182" s="131" t="s">
        <v>1180</v>
      </c>
      <c r="C182" s="77" t="s">
        <v>639</v>
      </c>
      <c r="D182" s="78" t="s">
        <v>644</v>
      </c>
      <c r="E182" s="78" t="s">
        <v>1181</v>
      </c>
      <c r="F182" s="77"/>
      <c r="G182" s="79">
        <f>G183</f>
        <v>0</v>
      </c>
      <c r="H182" s="79">
        <f>H183</f>
        <v>3639100</v>
      </c>
      <c r="I182" s="79">
        <f t="shared" si="7"/>
        <v>3639100</v>
      </c>
      <c r="J182" s="79">
        <f>J183</f>
        <v>3639100</v>
      </c>
      <c r="K182" s="71">
        <f>K183</f>
        <v>0</v>
      </c>
      <c r="L182" s="105">
        <f t="shared" si="6"/>
        <v>3639100</v>
      </c>
      <c r="M182" s="95"/>
      <c r="N182" s="95"/>
      <c r="O182" s="95"/>
    </row>
    <row r="183" spans="1:15" s="64" customFormat="1" ht="25.5">
      <c r="A183" s="67"/>
      <c r="B183" s="131" t="s">
        <v>1182</v>
      </c>
      <c r="C183" s="77" t="s">
        <v>639</v>
      </c>
      <c r="D183" s="78" t="s">
        <v>644</v>
      </c>
      <c r="E183" s="78" t="s">
        <v>1324</v>
      </c>
      <c r="F183" s="77"/>
      <c r="G183" s="79">
        <f>G184+G185+G186</f>
        <v>0</v>
      </c>
      <c r="H183" s="79">
        <f>H184+H185+H186</f>
        <v>3639100</v>
      </c>
      <c r="I183" s="79">
        <f t="shared" si="7"/>
        <v>3639100</v>
      </c>
      <c r="J183" s="79">
        <f>J184+J185+J186</f>
        <v>3639100</v>
      </c>
      <c r="K183" s="71">
        <v>0</v>
      </c>
      <c r="L183" s="105">
        <f t="shared" si="6"/>
        <v>3639100</v>
      </c>
      <c r="M183" s="95"/>
      <c r="N183" s="95"/>
      <c r="O183" s="95"/>
    </row>
    <row r="184" spans="1:15" ht="24" customHeight="1">
      <c r="A184" s="80"/>
      <c r="B184" s="131" t="s">
        <v>765</v>
      </c>
      <c r="C184" s="77" t="s">
        <v>639</v>
      </c>
      <c r="D184" s="78" t="s">
        <v>644</v>
      </c>
      <c r="E184" s="78" t="s">
        <v>1324</v>
      </c>
      <c r="F184" s="77" t="s">
        <v>733</v>
      </c>
      <c r="G184" s="79">
        <v>0</v>
      </c>
      <c r="H184" s="79">
        <f>2795000+844100</f>
        <v>3639100</v>
      </c>
      <c r="I184" s="79">
        <f t="shared" si="7"/>
        <v>3639100</v>
      </c>
      <c r="J184" s="79">
        <f>2795000+844100</f>
        <v>3639100</v>
      </c>
      <c r="K184" s="79">
        <f>K187+K189+K191+K185</f>
        <v>0</v>
      </c>
      <c r="L184" s="105">
        <f t="shared" si="6"/>
        <v>3639100</v>
      </c>
      <c r="M184" s="95"/>
      <c r="N184" s="95"/>
      <c r="O184" s="95"/>
    </row>
    <row r="185" spans="1:15" ht="24" customHeight="1">
      <c r="A185" s="80"/>
      <c r="B185" s="131" t="s">
        <v>766</v>
      </c>
      <c r="C185" s="77" t="s">
        <v>639</v>
      </c>
      <c r="D185" s="78" t="s">
        <v>644</v>
      </c>
      <c r="E185" s="78" t="s">
        <v>1324</v>
      </c>
      <c r="F185" s="77" t="s">
        <v>971</v>
      </c>
      <c r="G185" s="79">
        <v>0</v>
      </c>
      <c r="H185" s="79">
        <v>0</v>
      </c>
      <c r="I185" s="79">
        <f t="shared" si="7"/>
        <v>0</v>
      </c>
      <c r="J185" s="79">
        <v>0</v>
      </c>
      <c r="K185" s="79">
        <f>K186</f>
        <v>0</v>
      </c>
      <c r="L185" s="105">
        <f t="shared" si="6"/>
        <v>0</v>
      </c>
      <c r="M185" s="95"/>
      <c r="N185" s="95"/>
      <c r="O185" s="95"/>
    </row>
    <row r="186" spans="1:15" ht="12.75" customHeight="1">
      <c r="A186" s="80"/>
      <c r="B186" s="88" t="s">
        <v>769</v>
      </c>
      <c r="C186" s="77" t="s">
        <v>639</v>
      </c>
      <c r="D186" s="78" t="s">
        <v>644</v>
      </c>
      <c r="E186" s="78" t="s">
        <v>1324</v>
      </c>
      <c r="F186" s="77" t="s">
        <v>967</v>
      </c>
      <c r="G186" s="79">
        <v>0</v>
      </c>
      <c r="H186" s="79">
        <v>0</v>
      </c>
      <c r="I186" s="79">
        <f t="shared" si="7"/>
        <v>0</v>
      </c>
      <c r="J186" s="79">
        <v>0</v>
      </c>
      <c r="K186" s="79">
        <v>0</v>
      </c>
      <c r="L186" s="105">
        <f t="shared" si="6"/>
        <v>0</v>
      </c>
      <c r="M186" s="95"/>
      <c r="N186" s="95"/>
      <c r="O186" s="95"/>
    </row>
    <row r="187" spans="1:15" ht="25.5">
      <c r="A187" s="80"/>
      <c r="B187" s="131" t="s">
        <v>1112</v>
      </c>
      <c r="C187" s="77" t="s">
        <v>639</v>
      </c>
      <c r="D187" s="78" t="s">
        <v>644</v>
      </c>
      <c r="E187" s="78" t="s">
        <v>1101</v>
      </c>
      <c r="F187" s="77"/>
      <c r="G187" s="79">
        <f>G188</f>
        <v>3518467</v>
      </c>
      <c r="H187" s="79">
        <f>H188</f>
        <v>-3518467</v>
      </c>
      <c r="I187" s="79">
        <f t="shared" si="7"/>
        <v>0</v>
      </c>
      <c r="J187" s="79">
        <f>J188</f>
        <v>0</v>
      </c>
      <c r="K187" s="79">
        <f>K188</f>
        <v>0</v>
      </c>
      <c r="L187" s="105">
        <f t="shared" si="6"/>
        <v>0</v>
      </c>
      <c r="M187" s="95"/>
      <c r="N187" s="95"/>
      <c r="O187" s="95"/>
    </row>
    <row r="188" spans="1:15" ht="25.5">
      <c r="A188" s="80"/>
      <c r="B188" s="131" t="s">
        <v>1136</v>
      </c>
      <c r="C188" s="77" t="s">
        <v>639</v>
      </c>
      <c r="D188" s="78" t="s">
        <v>644</v>
      </c>
      <c r="E188" s="78" t="s">
        <v>1100</v>
      </c>
      <c r="F188" s="77"/>
      <c r="G188" s="79">
        <f>G189+G190+G191</f>
        <v>3518467</v>
      </c>
      <c r="H188" s="79">
        <f>H189+H190+H191</f>
        <v>-3518467</v>
      </c>
      <c r="I188" s="79">
        <f t="shared" si="7"/>
        <v>0</v>
      </c>
      <c r="J188" s="79">
        <f>J189+J190+J191</f>
        <v>0</v>
      </c>
      <c r="K188" s="71">
        <v>0</v>
      </c>
      <c r="L188" s="105">
        <f t="shared" si="6"/>
        <v>0</v>
      </c>
      <c r="M188" s="95"/>
      <c r="N188" s="95"/>
      <c r="O188" s="95"/>
    </row>
    <row r="189" spans="1:15" ht="51">
      <c r="A189" s="80"/>
      <c r="B189" s="131" t="s">
        <v>765</v>
      </c>
      <c r="C189" s="77" t="s">
        <v>639</v>
      </c>
      <c r="D189" s="78" t="s">
        <v>644</v>
      </c>
      <c r="E189" s="78" t="s">
        <v>1100</v>
      </c>
      <c r="F189" s="77" t="s">
        <v>733</v>
      </c>
      <c r="G189" s="79">
        <f>2873678+396168</f>
        <v>3269846</v>
      </c>
      <c r="H189" s="79">
        <v>-3269846</v>
      </c>
      <c r="I189" s="79">
        <f t="shared" si="7"/>
        <v>0</v>
      </c>
      <c r="J189" s="79">
        <v>0</v>
      </c>
      <c r="K189" s="79">
        <f>K190</f>
        <v>0</v>
      </c>
      <c r="L189" s="105">
        <f t="shared" si="6"/>
        <v>0</v>
      </c>
      <c r="M189" s="95"/>
      <c r="N189" s="95"/>
      <c r="O189" s="95"/>
    </row>
    <row r="190" spans="1:15" ht="25.5">
      <c r="A190" s="80"/>
      <c r="B190" s="131" t="s">
        <v>766</v>
      </c>
      <c r="C190" s="77" t="s">
        <v>639</v>
      </c>
      <c r="D190" s="78" t="s">
        <v>644</v>
      </c>
      <c r="E190" s="78" t="s">
        <v>1100</v>
      </c>
      <c r="F190" s="77" t="s">
        <v>971</v>
      </c>
      <c r="G190" s="79">
        <f>1181+228328</f>
        <v>229509</v>
      </c>
      <c r="H190" s="79">
        <v>-229509</v>
      </c>
      <c r="I190" s="79">
        <f t="shared" si="7"/>
        <v>0</v>
      </c>
      <c r="J190" s="79">
        <v>0</v>
      </c>
      <c r="K190" s="71">
        <v>0</v>
      </c>
      <c r="L190" s="105">
        <f t="shared" si="6"/>
        <v>0</v>
      </c>
      <c r="M190" s="95"/>
      <c r="N190" s="95"/>
      <c r="O190" s="95"/>
    </row>
    <row r="191" spans="1:15" ht="12.75">
      <c r="A191" s="80"/>
      <c r="B191" s="131" t="s">
        <v>769</v>
      </c>
      <c r="C191" s="77" t="s">
        <v>639</v>
      </c>
      <c r="D191" s="78" t="s">
        <v>644</v>
      </c>
      <c r="E191" s="78" t="s">
        <v>1100</v>
      </c>
      <c r="F191" s="77" t="s">
        <v>967</v>
      </c>
      <c r="G191" s="79">
        <f>18464+648</f>
        <v>19112</v>
      </c>
      <c r="H191" s="79">
        <v>-19112</v>
      </c>
      <c r="I191" s="79">
        <f t="shared" si="7"/>
        <v>0</v>
      </c>
      <c r="J191" s="79">
        <v>0</v>
      </c>
      <c r="K191" s="79">
        <f>K192</f>
        <v>0</v>
      </c>
      <c r="L191" s="105">
        <f t="shared" si="6"/>
        <v>0</v>
      </c>
      <c r="M191" s="95"/>
      <c r="N191" s="95"/>
      <c r="O191" s="95"/>
    </row>
    <row r="192" spans="1:15" ht="24" hidden="1">
      <c r="A192" s="80"/>
      <c r="B192" s="127" t="s">
        <v>1027</v>
      </c>
      <c r="C192" s="117" t="s">
        <v>639</v>
      </c>
      <c r="D192" s="128">
        <v>14</v>
      </c>
      <c r="E192" s="128"/>
      <c r="F192" s="117"/>
      <c r="G192" s="129">
        <f aca="true" t="shared" si="8" ref="G192:H196">G193</f>
        <v>0</v>
      </c>
      <c r="H192" s="129">
        <f t="shared" si="8"/>
        <v>0</v>
      </c>
      <c r="I192" s="129">
        <f t="shared" si="7"/>
        <v>0</v>
      </c>
      <c r="J192" s="129">
        <f>J193</f>
        <v>0</v>
      </c>
      <c r="K192" s="71">
        <v>0</v>
      </c>
      <c r="L192" s="105">
        <f t="shared" si="6"/>
        <v>0</v>
      </c>
      <c r="M192" s="95"/>
      <c r="N192" s="95"/>
      <c r="O192" s="95"/>
    </row>
    <row r="193" spans="1:15" ht="48" hidden="1">
      <c r="A193" s="80"/>
      <c r="B193" s="88" t="s">
        <v>1325</v>
      </c>
      <c r="C193" s="77" t="s">
        <v>639</v>
      </c>
      <c r="D193" s="78">
        <v>14</v>
      </c>
      <c r="E193" s="78" t="s">
        <v>1326</v>
      </c>
      <c r="F193" s="77"/>
      <c r="G193" s="79">
        <f t="shared" si="8"/>
        <v>0</v>
      </c>
      <c r="H193" s="79">
        <f t="shared" si="8"/>
        <v>0</v>
      </c>
      <c r="I193" s="79">
        <f t="shared" si="7"/>
        <v>0</v>
      </c>
      <c r="J193" s="79">
        <f>J194</f>
        <v>0</v>
      </c>
      <c r="K193" s="79">
        <f>K194+K218+K226+K214</f>
        <v>0</v>
      </c>
      <c r="L193" s="71">
        <f t="shared" si="6"/>
        <v>0</v>
      </c>
      <c r="M193" s="95"/>
      <c r="N193" s="95"/>
      <c r="O193" s="95"/>
    </row>
    <row r="194" spans="1:15" ht="12.75" hidden="1">
      <c r="A194" s="80"/>
      <c r="B194" s="88" t="s">
        <v>1327</v>
      </c>
      <c r="C194" s="77" t="s">
        <v>639</v>
      </c>
      <c r="D194" s="78">
        <v>14</v>
      </c>
      <c r="E194" s="78" t="s">
        <v>1328</v>
      </c>
      <c r="F194" s="77"/>
      <c r="G194" s="79">
        <f t="shared" si="8"/>
        <v>0</v>
      </c>
      <c r="H194" s="79">
        <f t="shared" si="8"/>
        <v>0</v>
      </c>
      <c r="I194" s="79">
        <f t="shared" si="7"/>
        <v>0</v>
      </c>
      <c r="J194" s="79">
        <f>J195</f>
        <v>0</v>
      </c>
      <c r="K194" s="79">
        <f>K195+K206</f>
        <v>0</v>
      </c>
      <c r="L194" s="105">
        <f t="shared" si="6"/>
        <v>0</v>
      </c>
      <c r="M194" s="95"/>
      <c r="N194" s="95"/>
      <c r="O194" s="95"/>
    </row>
    <row r="195" spans="2:15" ht="24" hidden="1">
      <c r="B195" s="88" t="s">
        <v>1329</v>
      </c>
      <c r="C195" s="77" t="s">
        <v>639</v>
      </c>
      <c r="D195" s="78">
        <v>14</v>
      </c>
      <c r="E195" s="78" t="s">
        <v>1330</v>
      </c>
      <c r="F195" s="77"/>
      <c r="G195" s="79">
        <f t="shared" si="8"/>
        <v>0</v>
      </c>
      <c r="H195" s="79">
        <f t="shared" si="8"/>
        <v>0</v>
      </c>
      <c r="I195" s="79">
        <f t="shared" si="7"/>
        <v>0</v>
      </c>
      <c r="J195" s="79">
        <f>J196</f>
        <v>0</v>
      </c>
      <c r="K195" s="79">
        <f>K196+K199+K201+K204</f>
        <v>0</v>
      </c>
      <c r="L195" s="105">
        <f t="shared" si="6"/>
        <v>0</v>
      </c>
      <c r="M195" s="95"/>
      <c r="N195" s="95"/>
      <c r="O195" s="95"/>
    </row>
    <row r="196" spans="2:15" s="64" customFormat="1" ht="22.5" customHeight="1" hidden="1">
      <c r="B196" s="90" t="s">
        <v>1331</v>
      </c>
      <c r="C196" s="77" t="s">
        <v>639</v>
      </c>
      <c r="D196" s="78">
        <v>14</v>
      </c>
      <c r="E196" s="78" t="s">
        <v>1332</v>
      </c>
      <c r="F196" s="77"/>
      <c r="G196" s="79">
        <f t="shared" si="8"/>
        <v>0</v>
      </c>
      <c r="H196" s="79">
        <f t="shared" si="8"/>
        <v>0</v>
      </c>
      <c r="I196" s="79">
        <f t="shared" si="7"/>
        <v>0</v>
      </c>
      <c r="J196" s="79">
        <f>J197</f>
        <v>0</v>
      </c>
      <c r="K196" s="71">
        <f>K197+K198</f>
        <v>0</v>
      </c>
      <c r="L196" s="105">
        <f t="shared" si="6"/>
        <v>0</v>
      </c>
      <c r="M196" s="95"/>
      <c r="N196" s="95"/>
      <c r="O196" s="95"/>
    </row>
    <row r="197" spans="2:15" s="64" customFormat="1" ht="12.75" customHeight="1" hidden="1">
      <c r="B197" s="88" t="s">
        <v>766</v>
      </c>
      <c r="C197" s="77" t="s">
        <v>639</v>
      </c>
      <c r="D197" s="78">
        <v>14</v>
      </c>
      <c r="E197" s="78" t="s">
        <v>1332</v>
      </c>
      <c r="F197" s="77" t="s">
        <v>971</v>
      </c>
      <c r="G197" s="79">
        <v>0</v>
      </c>
      <c r="H197" s="79">
        <v>0</v>
      </c>
      <c r="I197" s="79">
        <f t="shared" si="7"/>
        <v>0</v>
      </c>
      <c r="J197" s="79">
        <v>0</v>
      </c>
      <c r="K197" s="71">
        <v>0</v>
      </c>
      <c r="L197" s="105">
        <f t="shared" si="6"/>
        <v>0</v>
      </c>
      <c r="M197" s="95"/>
      <c r="N197" s="95"/>
      <c r="O197" s="95"/>
    </row>
    <row r="198" spans="2:15" s="64" customFormat="1" ht="24" customHeight="1">
      <c r="B198" s="130" t="s">
        <v>956</v>
      </c>
      <c r="C198" s="117" t="s">
        <v>640</v>
      </c>
      <c r="D198" s="128"/>
      <c r="E198" s="128"/>
      <c r="F198" s="117"/>
      <c r="G198" s="129">
        <f>G199+G234+G247+G228</f>
        <v>10991260</v>
      </c>
      <c r="H198" s="129">
        <f>H199+H234+H247+H228</f>
        <v>-1025060</v>
      </c>
      <c r="I198" s="129">
        <f t="shared" si="7"/>
        <v>9966200</v>
      </c>
      <c r="J198" s="129">
        <f>J199+J234+J247+J228</f>
        <v>51779600</v>
      </c>
      <c r="K198" s="71">
        <v>0</v>
      </c>
      <c r="L198" s="105">
        <f t="shared" si="6"/>
        <v>51779600</v>
      </c>
      <c r="M198" s="95"/>
      <c r="N198" s="95"/>
      <c r="O198" s="95"/>
    </row>
    <row r="199" spans="2:15" ht="23.25" customHeight="1">
      <c r="B199" s="130" t="s">
        <v>462</v>
      </c>
      <c r="C199" s="117" t="s">
        <v>640</v>
      </c>
      <c r="D199" s="128" t="s">
        <v>646</v>
      </c>
      <c r="E199" s="128"/>
      <c r="F199" s="117"/>
      <c r="G199" s="129">
        <f>G209+G220+G201</f>
        <v>2673660</v>
      </c>
      <c r="H199" s="129">
        <f>H209+H220+H201</f>
        <v>-1066560</v>
      </c>
      <c r="I199" s="129">
        <f t="shared" si="7"/>
        <v>1607100</v>
      </c>
      <c r="J199" s="129">
        <f>J209+J220+J201</f>
        <v>1607100</v>
      </c>
      <c r="K199" s="79">
        <f>K200</f>
        <v>0</v>
      </c>
      <c r="L199" s="105">
        <f t="shared" si="6"/>
        <v>1607100</v>
      </c>
      <c r="M199" s="95"/>
      <c r="N199" s="95"/>
      <c r="O199" s="95"/>
    </row>
    <row r="200" spans="2:15" ht="38.25">
      <c r="B200" s="131" t="s">
        <v>1183</v>
      </c>
      <c r="C200" s="77" t="s">
        <v>640</v>
      </c>
      <c r="D200" s="78" t="s">
        <v>646</v>
      </c>
      <c r="E200" s="78" t="s">
        <v>1184</v>
      </c>
      <c r="F200" s="77"/>
      <c r="G200" s="79">
        <f>G201</f>
        <v>0</v>
      </c>
      <c r="H200" s="79">
        <f>H201</f>
        <v>1607100</v>
      </c>
      <c r="I200" s="79">
        <f t="shared" si="7"/>
        <v>1607100</v>
      </c>
      <c r="J200" s="79">
        <f>J201</f>
        <v>1607100</v>
      </c>
      <c r="K200" s="71">
        <v>0</v>
      </c>
      <c r="L200" s="105">
        <f t="shared" si="6"/>
        <v>1607100</v>
      </c>
      <c r="M200" s="95"/>
      <c r="N200" s="95"/>
      <c r="O200" s="95"/>
    </row>
    <row r="201" spans="2:15" ht="25.5">
      <c r="B201" s="131" t="s">
        <v>1185</v>
      </c>
      <c r="C201" s="77" t="s">
        <v>640</v>
      </c>
      <c r="D201" s="78" t="s">
        <v>646</v>
      </c>
      <c r="E201" s="78" t="s">
        <v>1186</v>
      </c>
      <c r="F201" s="77"/>
      <c r="G201" s="79">
        <f>G202+G206</f>
        <v>0</v>
      </c>
      <c r="H201" s="79">
        <f>H202+H206</f>
        <v>1607100</v>
      </c>
      <c r="I201" s="79">
        <f t="shared" si="7"/>
        <v>1607100</v>
      </c>
      <c r="J201" s="79">
        <f>J202+J206</f>
        <v>1607100</v>
      </c>
      <c r="K201" s="79">
        <f>K203+K202</f>
        <v>0</v>
      </c>
      <c r="L201" s="105">
        <f t="shared" si="6"/>
        <v>1607100</v>
      </c>
      <c r="M201" s="95"/>
      <c r="N201" s="95"/>
      <c r="O201" s="95"/>
    </row>
    <row r="202" spans="2:15" ht="25.5">
      <c r="B202" s="131" t="s">
        <v>1187</v>
      </c>
      <c r="C202" s="77" t="s">
        <v>640</v>
      </c>
      <c r="D202" s="78" t="s">
        <v>646</v>
      </c>
      <c r="E202" s="78" t="s">
        <v>1188</v>
      </c>
      <c r="F202" s="77"/>
      <c r="G202" s="79">
        <f>G203</f>
        <v>0</v>
      </c>
      <c r="H202" s="79">
        <f>H203</f>
        <v>391500</v>
      </c>
      <c r="I202" s="79">
        <f t="shared" si="7"/>
        <v>391500</v>
      </c>
      <c r="J202" s="79">
        <f>J203</f>
        <v>391500</v>
      </c>
      <c r="K202" s="71">
        <v>0</v>
      </c>
      <c r="L202" s="105">
        <f t="shared" si="6"/>
        <v>391500</v>
      </c>
      <c r="M202" s="95"/>
      <c r="N202" s="95"/>
      <c r="O202" s="95"/>
    </row>
    <row r="203" spans="2:15" ht="25.5">
      <c r="B203" s="131" t="s">
        <v>1307</v>
      </c>
      <c r="C203" s="77" t="s">
        <v>640</v>
      </c>
      <c r="D203" s="78" t="s">
        <v>646</v>
      </c>
      <c r="E203" s="78" t="s">
        <v>1190</v>
      </c>
      <c r="F203" s="77"/>
      <c r="G203" s="79">
        <f>G204+G205</f>
        <v>0</v>
      </c>
      <c r="H203" s="79">
        <f>H204+H205</f>
        <v>391500</v>
      </c>
      <c r="I203" s="79">
        <f t="shared" si="7"/>
        <v>391500</v>
      </c>
      <c r="J203" s="79">
        <f>J204+J205</f>
        <v>391500</v>
      </c>
      <c r="K203" s="71">
        <v>0</v>
      </c>
      <c r="L203" s="105">
        <f t="shared" si="6"/>
        <v>391500</v>
      </c>
      <c r="M203" s="95"/>
      <c r="N203" s="95"/>
      <c r="O203" s="95"/>
    </row>
    <row r="204" spans="2:15" s="64" customFormat="1" ht="51">
      <c r="B204" s="131" t="s">
        <v>765</v>
      </c>
      <c r="C204" s="77" t="s">
        <v>640</v>
      </c>
      <c r="D204" s="78" t="s">
        <v>646</v>
      </c>
      <c r="E204" s="78" t="s">
        <v>1190</v>
      </c>
      <c r="F204" s="77" t="s">
        <v>733</v>
      </c>
      <c r="G204" s="79">
        <v>0</v>
      </c>
      <c r="H204" s="79">
        <f>25500+7700</f>
        <v>33200</v>
      </c>
      <c r="I204" s="79">
        <f t="shared" si="7"/>
        <v>33200</v>
      </c>
      <c r="J204" s="79">
        <f>25500+7700</f>
        <v>33200</v>
      </c>
      <c r="K204" s="71">
        <f>K205</f>
        <v>0</v>
      </c>
      <c r="L204" s="105">
        <f t="shared" si="6"/>
        <v>33200</v>
      </c>
      <c r="M204" s="95"/>
      <c r="N204" s="95"/>
      <c r="O204" s="95"/>
    </row>
    <row r="205" spans="2:15" s="64" customFormat="1" ht="25.5">
      <c r="B205" s="131" t="s">
        <v>766</v>
      </c>
      <c r="C205" s="77" t="s">
        <v>640</v>
      </c>
      <c r="D205" s="78" t="s">
        <v>646</v>
      </c>
      <c r="E205" s="78" t="s">
        <v>1190</v>
      </c>
      <c r="F205" s="77" t="s">
        <v>971</v>
      </c>
      <c r="G205" s="79">
        <v>0</v>
      </c>
      <c r="H205" s="79">
        <v>358300</v>
      </c>
      <c r="I205" s="79">
        <f t="shared" si="7"/>
        <v>358300</v>
      </c>
      <c r="J205" s="79">
        <v>358300</v>
      </c>
      <c r="K205" s="71">
        <v>0</v>
      </c>
      <c r="L205" s="105">
        <f t="shared" si="6"/>
        <v>358300</v>
      </c>
      <c r="M205" s="95"/>
      <c r="N205" s="95"/>
      <c r="O205" s="95"/>
    </row>
    <row r="206" spans="2:15" ht="25.5">
      <c r="B206" s="131" t="s">
        <v>1191</v>
      </c>
      <c r="C206" s="77" t="s">
        <v>640</v>
      </c>
      <c r="D206" s="78" t="s">
        <v>646</v>
      </c>
      <c r="E206" s="78" t="s">
        <v>1192</v>
      </c>
      <c r="F206" s="77"/>
      <c r="G206" s="79">
        <f>G207</f>
        <v>0</v>
      </c>
      <c r="H206" s="79">
        <f>H207</f>
        <v>1215600</v>
      </c>
      <c r="I206" s="79">
        <f t="shared" si="7"/>
        <v>1215600</v>
      </c>
      <c r="J206" s="79">
        <f>J207</f>
        <v>1215600</v>
      </c>
      <c r="K206" s="79">
        <f>K207</f>
        <v>0</v>
      </c>
      <c r="L206" s="105">
        <f t="shared" si="6"/>
        <v>1215600</v>
      </c>
      <c r="M206" s="95"/>
      <c r="N206" s="95"/>
      <c r="O206" s="95"/>
    </row>
    <row r="207" spans="2:15" ht="76.5">
      <c r="B207" s="132" t="s">
        <v>825</v>
      </c>
      <c r="C207" s="77" t="s">
        <v>640</v>
      </c>
      <c r="D207" s="78" t="s">
        <v>646</v>
      </c>
      <c r="E207" s="78" t="s">
        <v>1193</v>
      </c>
      <c r="F207" s="77"/>
      <c r="G207" s="79">
        <f>G208</f>
        <v>0</v>
      </c>
      <c r="H207" s="79">
        <f>H208</f>
        <v>1215600</v>
      </c>
      <c r="I207" s="79">
        <f t="shared" si="7"/>
        <v>1215600</v>
      </c>
      <c r="J207" s="79">
        <f>J208</f>
        <v>1215600</v>
      </c>
      <c r="K207" s="79">
        <f>K208+K210</f>
        <v>0</v>
      </c>
      <c r="L207" s="105">
        <f aca="true" t="shared" si="9" ref="L207:L268">J207+K207</f>
        <v>1215600</v>
      </c>
      <c r="M207" s="95"/>
      <c r="N207" s="95"/>
      <c r="O207" s="95"/>
    </row>
    <row r="208" spans="2:15" ht="25.5">
      <c r="B208" s="131" t="s">
        <v>766</v>
      </c>
      <c r="C208" s="77" t="s">
        <v>640</v>
      </c>
      <c r="D208" s="78" t="s">
        <v>646</v>
      </c>
      <c r="E208" s="78" t="s">
        <v>1193</v>
      </c>
      <c r="F208" s="77" t="s">
        <v>971</v>
      </c>
      <c r="G208" s="79">
        <v>0</v>
      </c>
      <c r="H208" s="79">
        <f>283800+253200+678600</f>
        <v>1215600</v>
      </c>
      <c r="I208" s="79">
        <f t="shared" si="7"/>
        <v>1215600</v>
      </c>
      <c r="J208" s="79">
        <f>283800+253200+678600</f>
        <v>1215600</v>
      </c>
      <c r="K208" s="79">
        <f>K209</f>
        <v>0</v>
      </c>
      <c r="L208" s="105">
        <f t="shared" si="9"/>
        <v>1215600</v>
      </c>
      <c r="M208" s="95"/>
      <c r="N208" s="95"/>
      <c r="O208" s="95"/>
    </row>
    <row r="209" spans="2:15" ht="25.5">
      <c r="B209" s="131" t="s">
        <v>1068</v>
      </c>
      <c r="C209" s="77" t="s">
        <v>640</v>
      </c>
      <c r="D209" s="78" t="s">
        <v>646</v>
      </c>
      <c r="E209" s="78" t="s">
        <v>741</v>
      </c>
      <c r="F209" s="77"/>
      <c r="G209" s="79">
        <f>G210+G213+G215+G218</f>
        <v>634000</v>
      </c>
      <c r="H209" s="79">
        <f>H210+H213+H215+H218</f>
        <v>-634000</v>
      </c>
      <c r="I209" s="79">
        <f t="shared" si="7"/>
        <v>0</v>
      </c>
      <c r="J209" s="79">
        <f>J210+J213+J215+J218</f>
        <v>0</v>
      </c>
      <c r="K209" s="71">
        <v>0</v>
      </c>
      <c r="L209" s="105">
        <f t="shared" si="9"/>
        <v>0</v>
      </c>
      <c r="M209" s="95"/>
      <c r="N209" s="95"/>
      <c r="O209" s="95"/>
    </row>
    <row r="210" spans="2:15" ht="25.5" hidden="1">
      <c r="B210" s="131" t="s">
        <v>824</v>
      </c>
      <c r="C210" s="77" t="s">
        <v>640</v>
      </c>
      <c r="D210" s="78" t="s">
        <v>646</v>
      </c>
      <c r="E210" s="78" t="s">
        <v>678</v>
      </c>
      <c r="F210" s="77"/>
      <c r="G210" s="79">
        <f>G211+G212</f>
        <v>0</v>
      </c>
      <c r="H210" s="79">
        <f>H211+H212</f>
        <v>0</v>
      </c>
      <c r="I210" s="79">
        <f t="shared" si="7"/>
        <v>0</v>
      </c>
      <c r="J210" s="79">
        <f>J211+J212</f>
        <v>0</v>
      </c>
      <c r="K210" s="71">
        <f>K211+K212+K213</f>
        <v>0</v>
      </c>
      <c r="L210" s="105">
        <f t="shared" si="9"/>
        <v>0</v>
      </c>
      <c r="M210" s="95"/>
      <c r="N210" s="95"/>
      <c r="O210" s="95"/>
    </row>
    <row r="211" spans="2:15" ht="25.5" hidden="1">
      <c r="B211" s="131" t="s">
        <v>766</v>
      </c>
      <c r="C211" s="77" t="s">
        <v>640</v>
      </c>
      <c r="D211" s="78" t="s">
        <v>646</v>
      </c>
      <c r="E211" s="78" t="s">
        <v>678</v>
      </c>
      <c r="F211" s="77">
        <v>200</v>
      </c>
      <c r="G211" s="79"/>
      <c r="H211" s="79"/>
      <c r="I211" s="79">
        <f t="shared" si="7"/>
        <v>0</v>
      </c>
      <c r="J211" s="79"/>
      <c r="K211" s="71">
        <v>0</v>
      </c>
      <c r="L211" s="105">
        <f t="shared" si="9"/>
        <v>0</v>
      </c>
      <c r="M211" s="95"/>
      <c r="N211" s="95"/>
      <c r="O211" s="95"/>
    </row>
    <row r="212" spans="2:15" ht="12.75" hidden="1">
      <c r="B212" s="131" t="s">
        <v>771</v>
      </c>
      <c r="C212" s="77" t="s">
        <v>640</v>
      </c>
      <c r="D212" s="78" t="s">
        <v>646</v>
      </c>
      <c r="E212" s="78" t="s">
        <v>678</v>
      </c>
      <c r="F212" s="77" t="s">
        <v>997</v>
      </c>
      <c r="G212" s="79"/>
      <c r="H212" s="79"/>
      <c r="I212" s="79">
        <f t="shared" si="7"/>
        <v>0</v>
      </c>
      <c r="J212" s="79"/>
      <c r="K212" s="71">
        <v>0</v>
      </c>
      <c r="L212" s="105">
        <f t="shared" si="9"/>
        <v>0</v>
      </c>
      <c r="M212" s="95"/>
      <c r="N212" s="95"/>
      <c r="O212" s="95"/>
    </row>
    <row r="213" spans="2:15" ht="76.5">
      <c r="B213" s="132" t="s">
        <v>825</v>
      </c>
      <c r="C213" s="77" t="s">
        <v>640</v>
      </c>
      <c r="D213" s="78" t="s">
        <v>646</v>
      </c>
      <c r="E213" s="78" t="s">
        <v>679</v>
      </c>
      <c r="F213" s="77"/>
      <c r="G213" s="79">
        <f>G214</f>
        <v>345400</v>
      </c>
      <c r="H213" s="79">
        <f>H214</f>
        <v>-345400</v>
      </c>
      <c r="I213" s="79">
        <f t="shared" si="7"/>
        <v>0</v>
      </c>
      <c r="J213" s="79">
        <f>J214</f>
        <v>0</v>
      </c>
      <c r="K213" s="71">
        <v>0</v>
      </c>
      <c r="L213" s="105">
        <f t="shared" si="9"/>
        <v>0</v>
      </c>
      <c r="M213" s="95"/>
      <c r="N213" s="95"/>
      <c r="O213" s="95"/>
    </row>
    <row r="214" spans="2:15" ht="25.5">
      <c r="B214" s="131" t="s">
        <v>766</v>
      </c>
      <c r="C214" s="77" t="s">
        <v>640</v>
      </c>
      <c r="D214" s="78" t="s">
        <v>646</v>
      </c>
      <c r="E214" s="78" t="s">
        <v>679</v>
      </c>
      <c r="F214" s="77">
        <v>200</v>
      </c>
      <c r="G214" s="79">
        <f>571400-226000</f>
        <v>345400</v>
      </c>
      <c r="H214" s="79">
        <v>-345400</v>
      </c>
      <c r="I214" s="79">
        <f t="shared" si="7"/>
        <v>0</v>
      </c>
      <c r="J214" s="79">
        <v>0</v>
      </c>
      <c r="K214" s="79">
        <f>K215+K216+K217</f>
        <v>0</v>
      </c>
      <c r="L214" s="105">
        <f t="shared" si="9"/>
        <v>0</v>
      </c>
      <c r="M214" s="95"/>
      <c r="N214" s="95"/>
      <c r="O214" s="95"/>
    </row>
    <row r="215" spans="2:15" ht="25.5">
      <c r="B215" s="131" t="s">
        <v>826</v>
      </c>
      <c r="C215" s="77" t="s">
        <v>640</v>
      </c>
      <c r="D215" s="78" t="s">
        <v>646</v>
      </c>
      <c r="E215" s="78" t="s">
        <v>680</v>
      </c>
      <c r="F215" s="77"/>
      <c r="G215" s="79">
        <f>G217+G216</f>
        <v>288600</v>
      </c>
      <c r="H215" s="79">
        <f>H217+H216</f>
        <v>-288600</v>
      </c>
      <c r="I215" s="79">
        <f t="shared" si="7"/>
        <v>0</v>
      </c>
      <c r="J215" s="79">
        <f>J217+J216</f>
        <v>0</v>
      </c>
      <c r="K215" s="79">
        <f>K216</f>
        <v>0</v>
      </c>
      <c r="L215" s="105">
        <f t="shared" si="9"/>
        <v>0</v>
      </c>
      <c r="M215" s="95"/>
      <c r="N215" s="95"/>
      <c r="O215" s="95"/>
    </row>
    <row r="216" spans="2:15" ht="51">
      <c r="B216" s="131" t="s">
        <v>765</v>
      </c>
      <c r="C216" s="77" t="s">
        <v>640</v>
      </c>
      <c r="D216" s="78" t="s">
        <v>646</v>
      </c>
      <c r="E216" s="78" t="s">
        <v>680</v>
      </c>
      <c r="F216" s="77" t="s">
        <v>733</v>
      </c>
      <c r="G216" s="79">
        <v>32810</v>
      </c>
      <c r="H216" s="79">
        <v>-32810</v>
      </c>
      <c r="I216" s="79">
        <f t="shared" si="7"/>
        <v>0</v>
      </c>
      <c r="J216" s="79">
        <v>0</v>
      </c>
      <c r="K216" s="79">
        <f>K217</f>
        <v>0</v>
      </c>
      <c r="L216" s="105">
        <f t="shared" si="9"/>
        <v>0</v>
      </c>
      <c r="M216" s="95"/>
      <c r="N216" s="95"/>
      <c r="O216" s="95"/>
    </row>
    <row r="217" spans="2:15" ht="25.5">
      <c r="B217" s="131" t="s">
        <v>766</v>
      </c>
      <c r="C217" s="77" t="s">
        <v>640</v>
      </c>
      <c r="D217" s="78" t="s">
        <v>646</v>
      </c>
      <c r="E217" s="78" t="s">
        <v>680</v>
      </c>
      <c r="F217" s="77">
        <v>200</v>
      </c>
      <c r="G217" s="79">
        <v>255790</v>
      </c>
      <c r="H217" s="79">
        <v>-255790</v>
      </c>
      <c r="I217" s="79">
        <f t="shared" si="7"/>
        <v>0</v>
      </c>
      <c r="J217" s="79"/>
      <c r="K217" s="71">
        <v>0</v>
      </c>
      <c r="L217" s="105">
        <f t="shared" si="9"/>
        <v>0</v>
      </c>
      <c r="M217" s="95"/>
      <c r="N217" s="95"/>
      <c r="O217" s="95"/>
    </row>
    <row r="218" spans="2:15" ht="25.5" hidden="1">
      <c r="B218" s="131" t="s">
        <v>827</v>
      </c>
      <c r="C218" s="77" t="s">
        <v>640</v>
      </c>
      <c r="D218" s="78" t="s">
        <v>646</v>
      </c>
      <c r="E218" s="78" t="s">
        <v>681</v>
      </c>
      <c r="F218" s="77"/>
      <c r="G218" s="79">
        <f>G219</f>
        <v>0</v>
      </c>
      <c r="H218" s="79">
        <f>H219</f>
        <v>0</v>
      </c>
      <c r="I218" s="79">
        <f t="shared" si="7"/>
        <v>0</v>
      </c>
      <c r="J218" s="79">
        <f>J219</f>
        <v>0</v>
      </c>
      <c r="K218" s="79">
        <f>K219+K224</f>
        <v>0</v>
      </c>
      <c r="L218" s="71">
        <f t="shared" si="9"/>
        <v>0</v>
      </c>
      <c r="M218" s="95"/>
      <c r="N218" s="95"/>
      <c r="O218" s="95"/>
    </row>
    <row r="219" spans="2:15" ht="25.5" hidden="1">
      <c r="B219" s="131" t="s">
        <v>766</v>
      </c>
      <c r="C219" s="77" t="s">
        <v>640</v>
      </c>
      <c r="D219" s="78" t="s">
        <v>646</v>
      </c>
      <c r="E219" s="78" t="s">
        <v>681</v>
      </c>
      <c r="F219" s="77">
        <v>200</v>
      </c>
      <c r="G219" s="79"/>
      <c r="H219" s="79">
        <v>0</v>
      </c>
      <c r="I219" s="79">
        <f t="shared" si="7"/>
        <v>0</v>
      </c>
      <c r="J219" s="79"/>
      <c r="K219" s="79">
        <f>K220</f>
        <v>0</v>
      </c>
      <c r="L219" s="71">
        <f t="shared" si="9"/>
        <v>0</v>
      </c>
      <c r="M219" s="95"/>
      <c r="N219" s="95"/>
      <c r="O219" s="95"/>
    </row>
    <row r="220" spans="2:15" ht="25.5">
      <c r="B220" s="131" t="s">
        <v>828</v>
      </c>
      <c r="C220" s="77" t="s">
        <v>640</v>
      </c>
      <c r="D220" s="78" t="s">
        <v>646</v>
      </c>
      <c r="E220" s="78" t="s">
        <v>781</v>
      </c>
      <c r="F220" s="77"/>
      <c r="G220" s="79">
        <f>G221</f>
        <v>2039660</v>
      </c>
      <c r="H220" s="79">
        <f>H221</f>
        <v>-2039660</v>
      </c>
      <c r="I220" s="79">
        <f t="shared" si="7"/>
        <v>0</v>
      </c>
      <c r="J220" s="79">
        <f>J221</f>
        <v>0</v>
      </c>
      <c r="K220" s="79">
        <f>K221+K223+K222</f>
        <v>0</v>
      </c>
      <c r="L220" s="71">
        <f t="shared" si="9"/>
        <v>0</v>
      </c>
      <c r="M220" s="95"/>
      <c r="N220" s="95"/>
      <c r="O220" s="95"/>
    </row>
    <row r="221" spans="2:15" ht="25.5">
      <c r="B221" s="131" t="s">
        <v>829</v>
      </c>
      <c r="C221" s="77" t="s">
        <v>640</v>
      </c>
      <c r="D221" s="78" t="s">
        <v>646</v>
      </c>
      <c r="E221" s="78" t="s">
        <v>787</v>
      </c>
      <c r="F221" s="77"/>
      <c r="G221" s="79">
        <f>G222+G224</f>
        <v>2039660</v>
      </c>
      <c r="H221" s="79">
        <f>H222+H224</f>
        <v>-2039660</v>
      </c>
      <c r="I221" s="79">
        <f t="shared" si="7"/>
        <v>0</v>
      </c>
      <c r="J221" s="79">
        <f>J222+J224</f>
        <v>0</v>
      </c>
      <c r="K221" s="79">
        <v>0</v>
      </c>
      <c r="L221" s="71">
        <f t="shared" si="9"/>
        <v>0</v>
      </c>
      <c r="M221" s="95"/>
      <c r="N221" s="95"/>
      <c r="O221" s="95"/>
    </row>
    <row r="222" spans="2:15" s="64" customFormat="1" ht="25.5">
      <c r="B222" s="131" t="s">
        <v>830</v>
      </c>
      <c r="C222" s="77" t="s">
        <v>640</v>
      </c>
      <c r="D222" s="78" t="s">
        <v>646</v>
      </c>
      <c r="E222" s="78" t="s">
        <v>788</v>
      </c>
      <c r="F222" s="77"/>
      <c r="G222" s="79">
        <f>G223</f>
        <v>1727510</v>
      </c>
      <c r="H222" s="79">
        <f>H223</f>
        <v>-1727510</v>
      </c>
      <c r="I222" s="79">
        <f t="shared" si="7"/>
        <v>0</v>
      </c>
      <c r="J222" s="79">
        <f>J223</f>
        <v>0</v>
      </c>
      <c r="K222" s="71">
        <v>0</v>
      </c>
      <c r="L222" s="71">
        <f>J222+K222</f>
        <v>0</v>
      </c>
      <c r="M222" s="95"/>
      <c r="N222" s="95"/>
      <c r="O222" s="95"/>
    </row>
    <row r="223" spans="2:15" s="64" customFormat="1" ht="36" customHeight="1" hidden="1">
      <c r="B223" s="131" t="s">
        <v>765</v>
      </c>
      <c r="C223" s="77" t="s">
        <v>640</v>
      </c>
      <c r="D223" s="78" t="s">
        <v>646</v>
      </c>
      <c r="E223" s="78" t="s">
        <v>788</v>
      </c>
      <c r="F223" s="77">
        <v>100</v>
      </c>
      <c r="G223" s="79">
        <f>1694700+32810</f>
        <v>1727510</v>
      </c>
      <c r="H223" s="79">
        <v>-1727510</v>
      </c>
      <c r="I223" s="79">
        <f t="shared" si="7"/>
        <v>0</v>
      </c>
      <c r="J223" s="79"/>
      <c r="K223" s="71">
        <v>0</v>
      </c>
      <c r="L223" s="71">
        <f t="shared" si="9"/>
        <v>0</v>
      </c>
      <c r="M223" s="95"/>
      <c r="N223" s="95"/>
      <c r="O223" s="95"/>
    </row>
    <row r="224" spans="2:15" s="64" customFormat="1" ht="48" customHeight="1" hidden="1">
      <c r="B224" s="131" t="s">
        <v>831</v>
      </c>
      <c r="C224" s="77" t="s">
        <v>640</v>
      </c>
      <c r="D224" s="78" t="s">
        <v>646</v>
      </c>
      <c r="E224" s="78" t="s">
        <v>789</v>
      </c>
      <c r="F224" s="77"/>
      <c r="G224" s="79">
        <f>G225+G226+G227</f>
        <v>312150</v>
      </c>
      <c r="H224" s="79">
        <f>H225+H226+H227</f>
        <v>-312150</v>
      </c>
      <c r="I224" s="79">
        <f t="shared" si="7"/>
        <v>0</v>
      </c>
      <c r="J224" s="79">
        <f>J225+J226+J227</f>
        <v>0</v>
      </c>
      <c r="K224" s="71">
        <f>K225</f>
        <v>0</v>
      </c>
      <c r="L224" s="71">
        <f t="shared" si="9"/>
        <v>0</v>
      </c>
      <c r="M224" s="95"/>
      <c r="N224" s="95"/>
      <c r="O224" s="95"/>
    </row>
    <row r="225" spans="2:15" s="64" customFormat="1" ht="24" customHeight="1" hidden="1">
      <c r="B225" s="131" t="s">
        <v>765</v>
      </c>
      <c r="C225" s="77" t="s">
        <v>640</v>
      </c>
      <c r="D225" s="78" t="s">
        <v>646</v>
      </c>
      <c r="E225" s="78" t="s">
        <v>789</v>
      </c>
      <c r="F225" s="77">
        <v>100</v>
      </c>
      <c r="G225" s="79">
        <f>261350+46800</f>
        <v>308150</v>
      </c>
      <c r="H225" s="79">
        <v>-308150</v>
      </c>
      <c r="I225" s="79">
        <f t="shared" si="7"/>
        <v>0</v>
      </c>
      <c r="J225" s="79"/>
      <c r="K225" s="71">
        <v>0</v>
      </c>
      <c r="L225" s="71">
        <f t="shared" si="9"/>
        <v>0</v>
      </c>
      <c r="M225" s="95"/>
      <c r="N225" s="95"/>
      <c r="O225" s="95"/>
    </row>
    <row r="226" spans="2:15" ht="25.5" hidden="1">
      <c r="B226" s="131" t="s">
        <v>766</v>
      </c>
      <c r="C226" s="77" t="s">
        <v>640</v>
      </c>
      <c r="D226" s="78" t="s">
        <v>646</v>
      </c>
      <c r="E226" s="78" t="s">
        <v>789</v>
      </c>
      <c r="F226" s="77">
        <v>200</v>
      </c>
      <c r="G226" s="79">
        <v>0</v>
      </c>
      <c r="H226" s="79"/>
      <c r="I226" s="79">
        <f t="shared" si="7"/>
        <v>0</v>
      </c>
      <c r="J226" s="79"/>
      <c r="K226" s="79">
        <f>K246+K227+K241+K255</f>
        <v>0</v>
      </c>
      <c r="L226" s="105">
        <f t="shared" si="9"/>
        <v>0</v>
      </c>
      <c r="M226" s="95"/>
      <c r="N226" s="95"/>
      <c r="O226" s="95"/>
    </row>
    <row r="227" spans="2:15" ht="12.75">
      <c r="B227" s="131" t="s">
        <v>769</v>
      </c>
      <c r="C227" s="77" t="s">
        <v>640</v>
      </c>
      <c r="D227" s="78" t="s">
        <v>646</v>
      </c>
      <c r="E227" s="78" t="s">
        <v>789</v>
      </c>
      <c r="F227" s="77">
        <v>800</v>
      </c>
      <c r="G227" s="79">
        <v>4000</v>
      </c>
      <c r="H227" s="79">
        <v>-4000</v>
      </c>
      <c r="I227" s="79">
        <f t="shared" si="7"/>
        <v>0</v>
      </c>
      <c r="J227" s="79"/>
      <c r="K227" s="71">
        <f>K239+K228</f>
        <v>0</v>
      </c>
      <c r="L227" s="105">
        <f t="shared" si="9"/>
        <v>0</v>
      </c>
      <c r="M227" s="95"/>
      <c r="N227" s="95"/>
      <c r="O227" s="95"/>
    </row>
    <row r="228" spans="2:15" ht="12.75">
      <c r="B228" s="130" t="s">
        <v>354</v>
      </c>
      <c r="C228" s="117" t="s">
        <v>640</v>
      </c>
      <c r="D228" s="117" t="s">
        <v>641</v>
      </c>
      <c r="E228" s="128"/>
      <c r="F228" s="117"/>
      <c r="G228" s="129">
        <f>G229</f>
        <v>0</v>
      </c>
      <c r="H228" s="129">
        <f>H229</f>
        <v>0</v>
      </c>
      <c r="I228" s="129">
        <f t="shared" si="7"/>
        <v>0</v>
      </c>
      <c r="J228" s="129">
        <f>J229</f>
        <v>37044000</v>
      </c>
      <c r="K228" s="79">
        <f>K229+K231+K233+K237+K235</f>
        <v>0</v>
      </c>
      <c r="L228" s="105">
        <f t="shared" si="9"/>
        <v>37044000</v>
      </c>
      <c r="M228" s="95"/>
      <c r="N228" s="95"/>
      <c r="O228" s="95"/>
    </row>
    <row r="229" spans="2:15" ht="36">
      <c r="B229" s="88" t="s">
        <v>1204</v>
      </c>
      <c r="C229" s="77" t="s">
        <v>640</v>
      </c>
      <c r="D229" s="77" t="s">
        <v>641</v>
      </c>
      <c r="E229" s="78" t="s">
        <v>1194</v>
      </c>
      <c r="F229" s="77"/>
      <c r="G229" s="79">
        <f aca="true" t="shared" si="10" ref="G229:J232">G230</f>
        <v>0</v>
      </c>
      <c r="H229" s="79">
        <f t="shared" si="10"/>
        <v>0</v>
      </c>
      <c r="I229" s="79">
        <f>G229+H229</f>
        <v>0</v>
      </c>
      <c r="J229" s="79">
        <f t="shared" si="10"/>
        <v>37044000</v>
      </c>
      <c r="K229" s="71">
        <f>K230</f>
        <v>0</v>
      </c>
      <c r="L229" s="105">
        <f t="shared" si="9"/>
        <v>37044000</v>
      </c>
      <c r="M229" s="95"/>
      <c r="N229" s="95"/>
      <c r="O229" s="95"/>
    </row>
    <row r="230" spans="2:15" ht="23.25">
      <c r="B230" s="88" t="s">
        <v>1333</v>
      </c>
      <c r="C230" s="77" t="s">
        <v>640</v>
      </c>
      <c r="D230" s="77" t="s">
        <v>641</v>
      </c>
      <c r="E230" s="78" t="s">
        <v>1196</v>
      </c>
      <c r="F230" s="77"/>
      <c r="G230" s="79">
        <f t="shared" si="10"/>
        <v>0</v>
      </c>
      <c r="H230" s="79">
        <f t="shared" si="10"/>
        <v>0</v>
      </c>
      <c r="I230" s="79">
        <f>G230+H230</f>
        <v>0</v>
      </c>
      <c r="J230" s="79">
        <f t="shared" si="10"/>
        <v>37044000</v>
      </c>
      <c r="K230" s="71">
        <v>0</v>
      </c>
      <c r="L230" s="105">
        <f t="shared" si="9"/>
        <v>37044000</v>
      </c>
      <c r="M230" s="95"/>
      <c r="N230" s="95"/>
      <c r="O230" s="95"/>
    </row>
    <row r="231" spans="2:15" ht="24">
      <c r="B231" s="88" t="s">
        <v>1197</v>
      </c>
      <c r="C231" s="77" t="s">
        <v>640</v>
      </c>
      <c r="D231" s="77" t="s">
        <v>641</v>
      </c>
      <c r="E231" s="78" t="s">
        <v>1198</v>
      </c>
      <c r="F231" s="77"/>
      <c r="G231" s="79">
        <f t="shared" si="10"/>
        <v>0</v>
      </c>
      <c r="H231" s="79">
        <f t="shared" si="10"/>
        <v>0</v>
      </c>
      <c r="I231" s="79">
        <f>G231+H231</f>
        <v>0</v>
      </c>
      <c r="J231" s="79">
        <f t="shared" si="10"/>
        <v>37044000</v>
      </c>
      <c r="K231" s="71">
        <f>K232</f>
        <v>0</v>
      </c>
      <c r="L231" s="105">
        <f t="shared" si="9"/>
        <v>37044000</v>
      </c>
      <c r="M231" s="95"/>
      <c r="N231" s="95"/>
      <c r="O231" s="95"/>
    </row>
    <row r="232" spans="2:15" ht="36">
      <c r="B232" s="88" t="s">
        <v>1334</v>
      </c>
      <c r="C232" s="77" t="s">
        <v>640</v>
      </c>
      <c r="D232" s="77" t="s">
        <v>641</v>
      </c>
      <c r="E232" s="78" t="s">
        <v>1335</v>
      </c>
      <c r="F232" s="77"/>
      <c r="G232" s="79">
        <f t="shared" si="10"/>
        <v>0</v>
      </c>
      <c r="H232" s="79">
        <f t="shared" si="10"/>
        <v>0</v>
      </c>
      <c r="I232" s="79">
        <f>G232+H232</f>
        <v>0</v>
      </c>
      <c r="J232" s="79">
        <f t="shared" si="10"/>
        <v>37044000</v>
      </c>
      <c r="K232" s="71">
        <v>0</v>
      </c>
      <c r="L232" s="105">
        <f t="shared" si="9"/>
        <v>37044000</v>
      </c>
      <c r="M232" s="95"/>
      <c r="N232" s="95"/>
      <c r="O232" s="95"/>
    </row>
    <row r="233" spans="2:15" ht="24">
      <c r="B233" s="88" t="s">
        <v>766</v>
      </c>
      <c r="C233" s="77" t="s">
        <v>640</v>
      </c>
      <c r="D233" s="77" t="s">
        <v>641</v>
      </c>
      <c r="E233" s="78" t="s">
        <v>1335</v>
      </c>
      <c r="F233" s="77" t="s">
        <v>971</v>
      </c>
      <c r="G233" s="79"/>
      <c r="H233" s="79">
        <v>0</v>
      </c>
      <c r="I233" s="79">
        <f>G233+H233</f>
        <v>0</v>
      </c>
      <c r="J233" s="79">
        <v>37044000</v>
      </c>
      <c r="K233" s="79">
        <f>K234</f>
        <v>0</v>
      </c>
      <c r="L233" s="105">
        <f t="shared" si="9"/>
        <v>37044000</v>
      </c>
      <c r="M233" s="95"/>
      <c r="N233" s="95"/>
      <c r="O233" s="95"/>
    </row>
    <row r="234" spans="2:15" ht="12.75">
      <c r="B234" s="130" t="s">
        <v>629</v>
      </c>
      <c r="C234" s="117" t="s">
        <v>640</v>
      </c>
      <c r="D234" s="128" t="s">
        <v>644</v>
      </c>
      <c r="E234" s="128"/>
      <c r="F234" s="117"/>
      <c r="G234" s="129">
        <f>G241+G245+G236</f>
        <v>8317600</v>
      </c>
      <c r="H234" s="129">
        <f>H241+H245+H236</f>
        <v>41500</v>
      </c>
      <c r="I234" s="129">
        <f t="shared" si="7"/>
        <v>8359100</v>
      </c>
      <c r="J234" s="129">
        <f>J241+J245+J236</f>
        <v>13128500</v>
      </c>
      <c r="K234" s="71">
        <v>0</v>
      </c>
      <c r="L234" s="105">
        <f t="shared" si="9"/>
        <v>13128500</v>
      </c>
      <c r="M234" s="95"/>
      <c r="N234" s="95"/>
      <c r="O234" s="95"/>
    </row>
    <row r="235" spans="2:15" ht="24.75" customHeight="1">
      <c r="B235" s="131" t="s">
        <v>1176</v>
      </c>
      <c r="C235" s="77" t="s">
        <v>640</v>
      </c>
      <c r="D235" s="78" t="s">
        <v>644</v>
      </c>
      <c r="E235" s="78" t="s">
        <v>1177</v>
      </c>
      <c r="F235" s="77"/>
      <c r="G235" s="79">
        <f aca="true" t="shared" si="11" ref="G235:J237">G236</f>
        <v>0</v>
      </c>
      <c r="H235" s="79">
        <f t="shared" si="11"/>
        <v>8359100</v>
      </c>
      <c r="I235" s="79">
        <f t="shared" si="7"/>
        <v>8359100</v>
      </c>
      <c r="J235" s="79">
        <f t="shared" si="11"/>
        <v>13128500</v>
      </c>
      <c r="K235" s="79">
        <f>K236</f>
        <v>0</v>
      </c>
      <c r="L235" s="105">
        <f t="shared" si="9"/>
        <v>13128500</v>
      </c>
      <c r="M235" s="95"/>
      <c r="N235" s="95"/>
      <c r="O235" s="95"/>
    </row>
    <row r="236" spans="2:15" ht="25.5">
      <c r="B236" s="131" t="s">
        <v>1195</v>
      </c>
      <c r="C236" s="77" t="s">
        <v>640</v>
      </c>
      <c r="D236" s="78" t="s">
        <v>644</v>
      </c>
      <c r="E236" s="78" t="s">
        <v>1199</v>
      </c>
      <c r="F236" s="77"/>
      <c r="G236" s="79">
        <f t="shared" si="11"/>
        <v>0</v>
      </c>
      <c r="H236" s="79">
        <f t="shared" si="11"/>
        <v>8359100</v>
      </c>
      <c r="I236" s="79">
        <f t="shared" si="7"/>
        <v>8359100</v>
      </c>
      <c r="J236" s="79">
        <f t="shared" si="11"/>
        <v>13128500</v>
      </c>
      <c r="K236" s="71">
        <v>0</v>
      </c>
      <c r="L236" s="105">
        <f t="shared" si="9"/>
        <v>13128500</v>
      </c>
      <c r="M236" s="95"/>
      <c r="N236" s="95"/>
      <c r="O236" s="95"/>
    </row>
    <row r="237" spans="2:15" s="64" customFormat="1" ht="25.5">
      <c r="B237" s="131" t="s">
        <v>1200</v>
      </c>
      <c r="C237" s="77" t="s">
        <v>640</v>
      </c>
      <c r="D237" s="78" t="s">
        <v>644</v>
      </c>
      <c r="E237" s="78" t="s">
        <v>1201</v>
      </c>
      <c r="F237" s="77"/>
      <c r="G237" s="79">
        <f t="shared" si="11"/>
        <v>0</v>
      </c>
      <c r="H237" s="79">
        <f t="shared" si="11"/>
        <v>8359100</v>
      </c>
      <c r="I237" s="79">
        <f t="shared" si="7"/>
        <v>8359100</v>
      </c>
      <c r="J237" s="79">
        <f t="shared" si="11"/>
        <v>13128500</v>
      </c>
      <c r="K237" s="71">
        <f>K238</f>
        <v>0</v>
      </c>
      <c r="L237" s="105">
        <f t="shared" si="9"/>
        <v>13128500</v>
      </c>
      <c r="M237" s="95"/>
      <c r="N237" s="95"/>
      <c r="O237" s="95"/>
    </row>
    <row r="238" spans="2:15" s="64" customFormat="1" ht="12.75">
      <c r="B238" s="131" t="s">
        <v>1202</v>
      </c>
      <c r="C238" s="77" t="s">
        <v>640</v>
      </c>
      <c r="D238" s="78" t="s">
        <v>644</v>
      </c>
      <c r="E238" s="78" t="s">
        <v>1203</v>
      </c>
      <c r="F238" s="77"/>
      <c r="G238" s="79">
        <f>G239+G240</f>
        <v>0</v>
      </c>
      <c r="H238" s="79">
        <f>H239+H240</f>
        <v>8359100</v>
      </c>
      <c r="I238" s="79">
        <f t="shared" si="7"/>
        <v>8359100</v>
      </c>
      <c r="J238" s="79">
        <f>J239+J240</f>
        <v>13128500</v>
      </c>
      <c r="K238" s="71">
        <v>0</v>
      </c>
      <c r="L238" s="105">
        <f t="shared" si="9"/>
        <v>13128500</v>
      </c>
      <c r="M238" s="95"/>
      <c r="N238" s="95"/>
      <c r="O238" s="95"/>
    </row>
    <row r="239" spans="2:15" ht="25.5" hidden="1">
      <c r="B239" s="131" t="s">
        <v>766</v>
      </c>
      <c r="C239" s="77" t="s">
        <v>640</v>
      </c>
      <c r="D239" s="78" t="s">
        <v>644</v>
      </c>
      <c r="E239" s="78" t="s">
        <v>1203</v>
      </c>
      <c r="F239" s="77" t="s">
        <v>971</v>
      </c>
      <c r="G239" s="79">
        <v>0</v>
      </c>
      <c r="H239" s="79">
        <v>0</v>
      </c>
      <c r="I239" s="79">
        <f aca="true" t="shared" si="12" ref="I239:I302">G239+H239</f>
        <v>0</v>
      </c>
      <c r="J239" s="79">
        <v>0</v>
      </c>
      <c r="K239" s="79">
        <f>K240</f>
        <v>0</v>
      </c>
      <c r="L239" s="105">
        <f t="shared" si="9"/>
        <v>0</v>
      </c>
      <c r="M239" s="95"/>
      <c r="N239" s="95"/>
      <c r="O239" s="95"/>
    </row>
    <row r="240" spans="2:15" ht="12.75">
      <c r="B240" s="88" t="s">
        <v>769</v>
      </c>
      <c r="C240" s="77" t="s">
        <v>640</v>
      </c>
      <c r="D240" s="78" t="s">
        <v>644</v>
      </c>
      <c r="E240" s="78" t="s">
        <v>1203</v>
      </c>
      <c r="F240" s="77" t="s">
        <v>967</v>
      </c>
      <c r="G240" s="79">
        <v>0</v>
      </c>
      <c r="H240" s="79">
        <v>8359100</v>
      </c>
      <c r="I240" s="79">
        <f t="shared" si="12"/>
        <v>8359100</v>
      </c>
      <c r="J240" s="79">
        <v>13128500</v>
      </c>
      <c r="K240" s="71"/>
      <c r="L240" s="105">
        <f t="shared" si="9"/>
        <v>13128500</v>
      </c>
      <c r="M240" s="95"/>
      <c r="N240" s="95"/>
      <c r="O240" s="95"/>
    </row>
    <row r="241" spans="2:15" ht="25.5">
      <c r="B241" s="131" t="s">
        <v>931</v>
      </c>
      <c r="C241" s="77" t="s">
        <v>640</v>
      </c>
      <c r="D241" s="78" t="s">
        <v>644</v>
      </c>
      <c r="E241" s="78" t="s">
        <v>742</v>
      </c>
      <c r="F241" s="77"/>
      <c r="G241" s="79">
        <f>G242</f>
        <v>8317600</v>
      </c>
      <c r="H241" s="79">
        <f>H242</f>
        <v>-8317600</v>
      </c>
      <c r="I241" s="79">
        <f t="shared" si="12"/>
        <v>0</v>
      </c>
      <c r="J241" s="79">
        <f>J242</f>
        <v>0</v>
      </c>
      <c r="K241" s="79">
        <f>K242+K244</f>
        <v>0</v>
      </c>
      <c r="L241" s="105">
        <f t="shared" si="9"/>
        <v>0</v>
      </c>
      <c r="M241" s="95"/>
      <c r="N241" s="95"/>
      <c r="O241" s="95"/>
    </row>
    <row r="242" spans="2:15" ht="38.25">
      <c r="B242" s="131" t="s">
        <v>932</v>
      </c>
      <c r="C242" s="77" t="s">
        <v>640</v>
      </c>
      <c r="D242" s="78" t="s">
        <v>644</v>
      </c>
      <c r="E242" s="78" t="s">
        <v>682</v>
      </c>
      <c r="F242" s="77"/>
      <c r="G242" s="79">
        <f>G243+G244</f>
        <v>8317600</v>
      </c>
      <c r="H242" s="79">
        <f>H243+H244</f>
        <v>-8317600</v>
      </c>
      <c r="I242" s="79">
        <f t="shared" si="12"/>
        <v>0</v>
      </c>
      <c r="J242" s="79">
        <f>J243+J244</f>
        <v>0</v>
      </c>
      <c r="K242" s="79">
        <f>K243</f>
        <v>0</v>
      </c>
      <c r="L242" s="105">
        <f t="shared" si="9"/>
        <v>0</v>
      </c>
      <c r="M242" s="95"/>
      <c r="N242" s="95"/>
      <c r="O242" s="95"/>
    </row>
    <row r="243" spans="2:15" ht="25.5">
      <c r="B243" s="131" t="s">
        <v>766</v>
      </c>
      <c r="C243" s="77" t="s">
        <v>640</v>
      </c>
      <c r="D243" s="78" t="s">
        <v>644</v>
      </c>
      <c r="E243" s="78" t="s">
        <v>682</v>
      </c>
      <c r="F243" s="77">
        <v>200</v>
      </c>
      <c r="G243" s="79">
        <v>8317600</v>
      </c>
      <c r="H243" s="79">
        <v>-8317600</v>
      </c>
      <c r="I243" s="79">
        <f t="shared" si="12"/>
        <v>0</v>
      </c>
      <c r="J243" s="79">
        <v>0</v>
      </c>
      <c r="K243" s="71">
        <v>0</v>
      </c>
      <c r="L243" s="105">
        <f t="shared" si="9"/>
        <v>0</v>
      </c>
      <c r="M243" s="95"/>
      <c r="N243" s="95"/>
      <c r="O243" s="95"/>
    </row>
    <row r="244" spans="2:15" s="64" customFormat="1" ht="12.75" hidden="1">
      <c r="B244" s="131" t="s">
        <v>769</v>
      </c>
      <c r="C244" s="77" t="s">
        <v>640</v>
      </c>
      <c r="D244" s="78" t="s">
        <v>644</v>
      </c>
      <c r="E244" s="78" t="s">
        <v>682</v>
      </c>
      <c r="F244" s="77" t="s">
        <v>967</v>
      </c>
      <c r="G244" s="79"/>
      <c r="H244" s="79"/>
      <c r="I244" s="79">
        <f t="shared" si="12"/>
        <v>0</v>
      </c>
      <c r="J244" s="79"/>
      <c r="K244" s="71">
        <f>K245</f>
        <v>0</v>
      </c>
      <c r="L244" s="105">
        <f t="shared" si="9"/>
        <v>0</v>
      </c>
      <c r="M244" s="95"/>
      <c r="N244" s="95"/>
      <c r="O244" s="95"/>
    </row>
    <row r="245" spans="2:15" s="64" customFormat="1" ht="25.5" hidden="1">
      <c r="B245" s="131" t="s">
        <v>1075</v>
      </c>
      <c r="C245" s="77" t="s">
        <v>640</v>
      </c>
      <c r="D245" s="78" t="s">
        <v>644</v>
      </c>
      <c r="E245" s="78" t="s">
        <v>1074</v>
      </c>
      <c r="F245" s="77"/>
      <c r="G245" s="79">
        <f>G246</f>
        <v>0</v>
      </c>
      <c r="H245" s="79">
        <f>H246</f>
        <v>0</v>
      </c>
      <c r="I245" s="79">
        <f t="shared" si="12"/>
        <v>0</v>
      </c>
      <c r="J245" s="79">
        <f>J246</f>
        <v>0</v>
      </c>
      <c r="K245" s="71">
        <v>0</v>
      </c>
      <c r="L245" s="105">
        <f t="shared" si="9"/>
        <v>0</v>
      </c>
      <c r="M245" s="95"/>
      <c r="N245" s="95"/>
      <c r="O245" s="95"/>
    </row>
    <row r="246" spans="2:15" ht="25.5" hidden="1">
      <c r="B246" s="131" t="s">
        <v>766</v>
      </c>
      <c r="C246" s="77" t="s">
        <v>640</v>
      </c>
      <c r="D246" s="78" t="s">
        <v>644</v>
      </c>
      <c r="E246" s="78" t="s">
        <v>1074</v>
      </c>
      <c r="F246" s="77" t="s">
        <v>971</v>
      </c>
      <c r="G246" s="79"/>
      <c r="H246" s="79"/>
      <c r="I246" s="79">
        <f t="shared" si="12"/>
        <v>0</v>
      </c>
      <c r="J246" s="79"/>
      <c r="K246" s="79">
        <f>K247+K252</f>
        <v>0</v>
      </c>
      <c r="L246" s="105">
        <f t="shared" si="9"/>
        <v>0</v>
      </c>
      <c r="M246" s="95"/>
      <c r="N246" s="95"/>
      <c r="O246" s="95"/>
    </row>
    <row r="247" spans="2:15" ht="12.75" hidden="1">
      <c r="B247" s="130" t="s">
        <v>469</v>
      </c>
      <c r="C247" s="117" t="s">
        <v>640</v>
      </c>
      <c r="D247" s="128" t="s">
        <v>647</v>
      </c>
      <c r="E247" s="128"/>
      <c r="F247" s="117"/>
      <c r="G247" s="129">
        <f>G270+G248+G265+G279+G282</f>
        <v>0</v>
      </c>
      <c r="H247" s="129">
        <f>H270+H248+H265+H279+H282</f>
        <v>0</v>
      </c>
      <c r="I247" s="129">
        <f t="shared" si="12"/>
        <v>0</v>
      </c>
      <c r="J247" s="129">
        <f>J270+J248+J265+J279+J282</f>
        <v>0</v>
      </c>
      <c r="K247" s="79">
        <f>K248+K250</f>
        <v>0</v>
      </c>
      <c r="L247" s="105">
        <f t="shared" si="9"/>
        <v>0</v>
      </c>
      <c r="M247" s="95"/>
      <c r="N247" s="95"/>
      <c r="O247" s="95"/>
    </row>
    <row r="248" spans="2:15" s="64" customFormat="1" ht="36" hidden="1">
      <c r="B248" s="88" t="s">
        <v>1183</v>
      </c>
      <c r="C248" s="77" t="s">
        <v>640</v>
      </c>
      <c r="D248" s="78" t="s">
        <v>647</v>
      </c>
      <c r="E248" s="78" t="s">
        <v>1184</v>
      </c>
      <c r="F248" s="77"/>
      <c r="G248" s="79">
        <f>G249</f>
        <v>0</v>
      </c>
      <c r="H248" s="79">
        <f>H249</f>
        <v>0</v>
      </c>
      <c r="I248" s="79">
        <f t="shared" si="12"/>
        <v>0</v>
      </c>
      <c r="J248" s="79">
        <f>J249</f>
        <v>0</v>
      </c>
      <c r="K248" s="71">
        <f>K249</f>
        <v>0</v>
      </c>
      <c r="L248" s="105">
        <f t="shared" si="9"/>
        <v>0</v>
      </c>
      <c r="M248" s="95"/>
      <c r="N248" s="95"/>
      <c r="O248" s="95"/>
    </row>
    <row r="249" spans="2:15" s="64" customFormat="1" ht="12.75" hidden="1">
      <c r="B249" s="88" t="s">
        <v>1336</v>
      </c>
      <c r="C249" s="77" t="s">
        <v>640</v>
      </c>
      <c r="D249" s="78" t="s">
        <v>647</v>
      </c>
      <c r="E249" s="78" t="s">
        <v>1337</v>
      </c>
      <c r="F249" s="77"/>
      <c r="G249" s="79">
        <f>G250+G253</f>
        <v>0</v>
      </c>
      <c r="H249" s="79">
        <f>H250+H253</f>
        <v>0</v>
      </c>
      <c r="I249" s="79">
        <f t="shared" si="12"/>
        <v>0</v>
      </c>
      <c r="J249" s="79">
        <f>J250+J253</f>
        <v>0</v>
      </c>
      <c r="K249" s="71">
        <v>0</v>
      </c>
      <c r="L249" s="105">
        <f t="shared" si="9"/>
        <v>0</v>
      </c>
      <c r="M249" s="95"/>
      <c r="N249" s="95"/>
      <c r="O249" s="95"/>
    </row>
    <row r="250" spans="2:15" ht="36" hidden="1">
      <c r="B250" s="88" t="s">
        <v>1338</v>
      </c>
      <c r="C250" s="77" t="s">
        <v>640</v>
      </c>
      <c r="D250" s="78" t="s">
        <v>647</v>
      </c>
      <c r="E250" s="78" t="s">
        <v>1339</v>
      </c>
      <c r="F250" s="77"/>
      <c r="G250" s="79">
        <f>G252+G251</f>
        <v>0</v>
      </c>
      <c r="H250" s="79">
        <f>H252+H251</f>
        <v>0</v>
      </c>
      <c r="I250" s="79">
        <f t="shared" si="12"/>
        <v>0</v>
      </c>
      <c r="J250" s="79">
        <f>J252+J251</f>
        <v>0</v>
      </c>
      <c r="K250" s="79">
        <f>K251</f>
        <v>0</v>
      </c>
      <c r="L250" s="105">
        <f t="shared" si="9"/>
        <v>0</v>
      </c>
      <c r="M250" s="95"/>
      <c r="N250" s="95"/>
      <c r="O250" s="95"/>
    </row>
    <row r="251" spans="2:15" ht="24" hidden="1">
      <c r="B251" s="88" t="s">
        <v>766</v>
      </c>
      <c r="C251" s="77" t="s">
        <v>640</v>
      </c>
      <c r="D251" s="78" t="s">
        <v>647</v>
      </c>
      <c r="E251" s="78" t="s">
        <v>1339</v>
      </c>
      <c r="F251" s="77" t="s">
        <v>971</v>
      </c>
      <c r="G251" s="79">
        <v>0</v>
      </c>
      <c r="H251" s="79">
        <v>0</v>
      </c>
      <c r="I251" s="79">
        <f t="shared" si="12"/>
        <v>0</v>
      </c>
      <c r="J251" s="79">
        <v>0</v>
      </c>
      <c r="K251" s="71">
        <v>0</v>
      </c>
      <c r="L251" s="105">
        <f t="shared" si="9"/>
        <v>0</v>
      </c>
      <c r="M251" s="95"/>
      <c r="N251" s="95"/>
      <c r="O251" s="95"/>
    </row>
    <row r="252" spans="2:15" s="64" customFormat="1" ht="12.75" hidden="1">
      <c r="B252" s="88" t="s">
        <v>769</v>
      </c>
      <c r="C252" s="77" t="s">
        <v>640</v>
      </c>
      <c r="D252" s="78" t="s">
        <v>647</v>
      </c>
      <c r="E252" s="78" t="s">
        <v>1339</v>
      </c>
      <c r="F252" s="77">
        <v>800</v>
      </c>
      <c r="G252" s="79">
        <v>0</v>
      </c>
      <c r="H252" s="79">
        <v>0</v>
      </c>
      <c r="I252" s="79">
        <f t="shared" si="12"/>
        <v>0</v>
      </c>
      <c r="J252" s="79">
        <v>0</v>
      </c>
      <c r="K252" s="71">
        <f>K253</f>
        <v>0</v>
      </c>
      <c r="L252" s="105">
        <f t="shared" si="9"/>
        <v>0</v>
      </c>
      <c r="M252" s="95"/>
      <c r="N252" s="95"/>
      <c r="O252" s="95"/>
    </row>
    <row r="253" spans="2:15" s="64" customFormat="1" ht="24" hidden="1">
      <c r="B253" s="88" t="s">
        <v>1340</v>
      </c>
      <c r="C253" s="77" t="s">
        <v>640</v>
      </c>
      <c r="D253" s="78" t="s">
        <v>647</v>
      </c>
      <c r="E253" s="78" t="s">
        <v>1341</v>
      </c>
      <c r="F253" s="77"/>
      <c r="G253" s="79">
        <f>G254</f>
        <v>0</v>
      </c>
      <c r="H253" s="79">
        <f>H254</f>
        <v>0</v>
      </c>
      <c r="I253" s="79">
        <f t="shared" si="12"/>
        <v>0</v>
      </c>
      <c r="J253" s="79">
        <f>J254</f>
        <v>0</v>
      </c>
      <c r="K253" s="71">
        <f>K254</f>
        <v>0</v>
      </c>
      <c r="L253" s="105">
        <f t="shared" si="9"/>
        <v>0</v>
      </c>
      <c r="M253" s="95"/>
      <c r="N253" s="95"/>
      <c r="O253" s="95"/>
    </row>
    <row r="254" spans="2:15" s="64" customFormat="1" ht="24" hidden="1">
      <c r="B254" s="88" t="s">
        <v>766</v>
      </c>
      <c r="C254" s="77" t="s">
        <v>640</v>
      </c>
      <c r="D254" s="78" t="s">
        <v>647</v>
      </c>
      <c r="E254" s="78" t="s">
        <v>1341</v>
      </c>
      <c r="F254" s="77" t="s">
        <v>971</v>
      </c>
      <c r="G254" s="79">
        <v>0</v>
      </c>
      <c r="H254" s="79">
        <v>0</v>
      </c>
      <c r="I254" s="79">
        <f t="shared" si="12"/>
        <v>0</v>
      </c>
      <c r="J254" s="79">
        <v>0</v>
      </c>
      <c r="K254" s="71">
        <v>0</v>
      </c>
      <c r="L254" s="105">
        <f t="shared" si="9"/>
        <v>0</v>
      </c>
      <c r="M254" s="95"/>
      <c r="N254" s="95"/>
      <c r="O254" s="95"/>
    </row>
    <row r="255" spans="2:15" ht="51" hidden="1">
      <c r="B255" s="131" t="s">
        <v>1067</v>
      </c>
      <c r="C255" s="77" t="s">
        <v>640</v>
      </c>
      <c r="D255" s="78" t="s">
        <v>647</v>
      </c>
      <c r="E255" s="78" t="s">
        <v>968</v>
      </c>
      <c r="F255" s="77"/>
      <c r="G255" s="79">
        <f>G256</f>
        <v>0</v>
      </c>
      <c r="H255" s="79">
        <f>H256</f>
        <v>0</v>
      </c>
      <c r="I255" s="79">
        <f t="shared" si="12"/>
        <v>0</v>
      </c>
      <c r="J255" s="79">
        <f>J256</f>
        <v>0</v>
      </c>
      <c r="K255" s="79">
        <f>K256</f>
        <v>0</v>
      </c>
      <c r="L255" s="105">
        <f t="shared" si="9"/>
        <v>0</v>
      </c>
      <c r="M255" s="95"/>
      <c r="N255" s="95"/>
      <c r="O255" s="95"/>
    </row>
    <row r="256" spans="2:15" ht="51" hidden="1">
      <c r="B256" s="131" t="s">
        <v>1067</v>
      </c>
      <c r="C256" s="77" t="s">
        <v>640</v>
      </c>
      <c r="D256" s="78" t="s">
        <v>647</v>
      </c>
      <c r="E256" s="78" t="s">
        <v>968</v>
      </c>
      <c r="F256" s="77" t="s">
        <v>967</v>
      </c>
      <c r="G256" s="79"/>
      <c r="H256" s="79"/>
      <c r="I256" s="79">
        <f t="shared" si="12"/>
        <v>0</v>
      </c>
      <c r="J256" s="79"/>
      <c r="K256" s="79">
        <f>K257</f>
        <v>0</v>
      </c>
      <c r="L256" s="105">
        <f t="shared" si="9"/>
        <v>0</v>
      </c>
      <c r="M256" s="95"/>
      <c r="N256" s="95"/>
      <c r="O256" s="95"/>
    </row>
    <row r="257" spans="2:15" ht="51" hidden="1">
      <c r="B257" s="131" t="s">
        <v>1067</v>
      </c>
      <c r="C257" s="77" t="s">
        <v>640</v>
      </c>
      <c r="D257" s="78" t="s">
        <v>647</v>
      </c>
      <c r="E257" s="78" t="s">
        <v>969</v>
      </c>
      <c r="F257" s="77"/>
      <c r="G257" s="79">
        <f>G258</f>
        <v>0</v>
      </c>
      <c r="H257" s="79">
        <f>H258</f>
        <v>0</v>
      </c>
      <c r="I257" s="79">
        <f t="shared" si="12"/>
        <v>0</v>
      </c>
      <c r="J257" s="79">
        <f>J258</f>
        <v>0</v>
      </c>
      <c r="K257" s="71">
        <v>0</v>
      </c>
      <c r="L257" s="105">
        <f t="shared" si="9"/>
        <v>0</v>
      </c>
      <c r="M257" s="95"/>
      <c r="N257" s="95"/>
      <c r="O257" s="95"/>
    </row>
    <row r="258" spans="2:15" ht="12.75" hidden="1">
      <c r="B258" s="131" t="s">
        <v>769</v>
      </c>
      <c r="C258" s="77" t="s">
        <v>640</v>
      </c>
      <c r="D258" s="78" t="s">
        <v>647</v>
      </c>
      <c r="E258" s="78" t="s">
        <v>969</v>
      </c>
      <c r="F258" s="77" t="s">
        <v>967</v>
      </c>
      <c r="G258" s="79"/>
      <c r="H258" s="79"/>
      <c r="I258" s="79">
        <f t="shared" si="12"/>
        <v>0</v>
      </c>
      <c r="J258" s="79"/>
      <c r="K258" s="79">
        <f>K264+K259+K297</f>
        <v>0</v>
      </c>
      <c r="L258" s="105">
        <f t="shared" si="9"/>
        <v>0</v>
      </c>
      <c r="M258" s="95"/>
      <c r="N258" s="95"/>
      <c r="O258" s="95"/>
    </row>
    <row r="259" spans="2:15" ht="24" customHeight="1" hidden="1">
      <c r="B259" s="131" t="s">
        <v>1115</v>
      </c>
      <c r="C259" s="77" t="s">
        <v>640</v>
      </c>
      <c r="D259" s="78" t="s">
        <v>647</v>
      </c>
      <c r="E259" s="78" t="s">
        <v>1102</v>
      </c>
      <c r="F259" s="77"/>
      <c r="G259" s="79">
        <f>G260</f>
        <v>0</v>
      </c>
      <c r="H259" s="79">
        <f>H260</f>
        <v>0</v>
      </c>
      <c r="I259" s="79">
        <f t="shared" si="12"/>
        <v>0</v>
      </c>
      <c r="J259" s="79">
        <f>J260</f>
        <v>0</v>
      </c>
      <c r="K259" s="79">
        <f>K260</f>
        <v>0</v>
      </c>
      <c r="L259" s="105">
        <f t="shared" si="9"/>
        <v>0</v>
      </c>
      <c r="M259" s="95"/>
      <c r="N259" s="95"/>
      <c r="O259" s="95"/>
    </row>
    <row r="260" spans="2:15" ht="24" customHeight="1" hidden="1">
      <c r="B260" s="131" t="s">
        <v>1067</v>
      </c>
      <c r="C260" s="77" t="s">
        <v>640</v>
      </c>
      <c r="D260" s="78" t="s">
        <v>647</v>
      </c>
      <c r="E260" s="78" t="s">
        <v>1102</v>
      </c>
      <c r="F260" s="77" t="s">
        <v>967</v>
      </c>
      <c r="G260" s="79"/>
      <c r="H260" s="79"/>
      <c r="I260" s="79">
        <f t="shared" si="12"/>
        <v>0</v>
      </c>
      <c r="J260" s="79"/>
      <c r="K260" s="79">
        <f>K261</f>
        <v>0</v>
      </c>
      <c r="L260" s="105">
        <f t="shared" si="9"/>
        <v>0</v>
      </c>
      <c r="M260" s="95"/>
      <c r="N260" s="95"/>
      <c r="O260" s="95"/>
    </row>
    <row r="261" spans="2:15" ht="38.25" hidden="1">
      <c r="B261" s="131" t="s">
        <v>1040</v>
      </c>
      <c r="C261" s="77" t="s">
        <v>640</v>
      </c>
      <c r="D261" s="78" t="s">
        <v>647</v>
      </c>
      <c r="E261" s="78" t="s">
        <v>1030</v>
      </c>
      <c r="F261" s="77"/>
      <c r="G261" s="79">
        <f>G262</f>
        <v>0</v>
      </c>
      <c r="H261" s="79">
        <f>H262</f>
        <v>0</v>
      </c>
      <c r="I261" s="79">
        <f t="shared" si="12"/>
        <v>0</v>
      </c>
      <c r="J261" s="79">
        <f>J262</f>
        <v>0</v>
      </c>
      <c r="K261" s="79">
        <f>K263+K262</f>
        <v>0</v>
      </c>
      <c r="L261" s="105">
        <f t="shared" si="9"/>
        <v>0</v>
      </c>
      <c r="M261" s="95"/>
      <c r="N261" s="95"/>
      <c r="O261" s="95"/>
    </row>
    <row r="262" spans="2:15" ht="12.75" hidden="1">
      <c r="B262" s="131" t="s">
        <v>769</v>
      </c>
      <c r="C262" s="77" t="s">
        <v>640</v>
      </c>
      <c r="D262" s="78" t="s">
        <v>647</v>
      </c>
      <c r="E262" s="78" t="s">
        <v>1030</v>
      </c>
      <c r="F262" s="77" t="s">
        <v>967</v>
      </c>
      <c r="G262" s="79"/>
      <c r="H262" s="79"/>
      <c r="I262" s="79">
        <f t="shared" si="12"/>
        <v>0</v>
      </c>
      <c r="J262" s="79"/>
      <c r="K262" s="71">
        <v>0</v>
      </c>
      <c r="L262" s="105">
        <f t="shared" si="9"/>
        <v>0</v>
      </c>
      <c r="M262" s="95"/>
      <c r="N262" s="95"/>
      <c r="O262" s="95"/>
    </row>
    <row r="263" spans="2:15" s="64" customFormat="1" ht="25.5" hidden="1">
      <c r="B263" s="131" t="s">
        <v>823</v>
      </c>
      <c r="C263" s="77" t="s">
        <v>640</v>
      </c>
      <c r="D263" s="78" t="s">
        <v>647</v>
      </c>
      <c r="E263" s="78" t="s">
        <v>683</v>
      </c>
      <c r="F263" s="77"/>
      <c r="G263" s="79">
        <f>G264</f>
        <v>0</v>
      </c>
      <c r="H263" s="79">
        <f>H264</f>
        <v>0</v>
      </c>
      <c r="I263" s="79">
        <f t="shared" si="12"/>
        <v>0</v>
      </c>
      <c r="J263" s="79">
        <f>J264</f>
        <v>0</v>
      </c>
      <c r="K263" s="71">
        <v>0</v>
      </c>
      <c r="L263" s="105">
        <f t="shared" si="9"/>
        <v>0</v>
      </c>
      <c r="M263" s="95"/>
      <c r="N263" s="95"/>
      <c r="O263" s="95"/>
    </row>
    <row r="264" spans="2:15" ht="25.5" hidden="1">
      <c r="B264" s="131" t="s">
        <v>766</v>
      </c>
      <c r="C264" s="77" t="s">
        <v>640</v>
      </c>
      <c r="D264" s="78" t="s">
        <v>647</v>
      </c>
      <c r="E264" s="78" t="s">
        <v>683</v>
      </c>
      <c r="F264" s="77">
        <v>200</v>
      </c>
      <c r="G264" s="79">
        <v>0</v>
      </c>
      <c r="H264" s="79"/>
      <c r="I264" s="79">
        <f t="shared" si="12"/>
        <v>0</v>
      </c>
      <c r="J264" s="79"/>
      <c r="K264" s="79">
        <f>K265+K280+K283</f>
        <v>0</v>
      </c>
      <c r="L264" s="71">
        <f t="shared" si="9"/>
        <v>0</v>
      </c>
      <c r="M264" s="95"/>
      <c r="N264" s="95"/>
      <c r="O264" s="95"/>
    </row>
    <row r="265" spans="2:15" ht="25.5" hidden="1">
      <c r="B265" s="131" t="s">
        <v>915</v>
      </c>
      <c r="C265" s="77" t="s">
        <v>640</v>
      </c>
      <c r="D265" s="78" t="s">
        <v>647</v>
      </c>
      <c r="E265" s="78" t="s">
        <v>791</v>
      </c>
      <c r="F265" s="77"/>
      <c r="G265" s="79">
        <f>G266+G268</f>
        <v>0</v>
      </c>
      <c r="H265" s="79">
        <f>H266+H268</f>
        <v>0</v>
      </c>
      <c r="I265" s="79">
        <f t="shared" si="12"/>
        <v>0</v>
      </c>
      <c r="J265" s="79">
        <f>J266+J268</f>
        <v>0</v>
      </c>
      <c r="K265" s="79">
        <f>K266+K272+K278+K274+K276+K269</f>
        <v>0</v>
      </c>
      <c r="L265" s="71">
        <f t="shared" si="9"/>
        <v>0</v>
      </c>
      <c r="M265" s="95"/>
      <c r="N265" s="95"/>
      <c r="O265" s="95"/>
    </row>
    <row r="266" spans="2:15" s="64" customFormat="1" ht="25.5" hidden="1">
      <c r="B266" s="131" t="s">
        <v>916</v>
      </c>
      <c r="C266" s="77" t="s">
        <v>640</v>
      </c>
      <c r="D266" s="78" t="s">
        <v>647</v>
      </c>
      <c r="E266" s="78" t="s">
        <v>790</v>
      </c>
      <c r="F266" s="77"/>
      <c r="G266" s="79">
        <f>G267</f>
        <v>0</v>
      </c>
      <c r="H266" s="79">
        <f>H267</f>
        <v>0</v>
      </c>
      <c r="I266" s="79">
        <f t="shared" si="12"/>
        <v>0</v>
      </c>
      <c r="J266" s="79">
        <f>J267</f>
        <v>0</v>
      </c>
      <c r="K266" s="71">
        <f>K268+K267</f>
        <v>0</v>
      </c>
      <c r="L266" s="71">
        <f t="shared" si="9"/>
        <v>0</v>
      </c>
      <c r="M266" s="95"/>
      <c r="N266" s="95"/>
      <c r="O266" s="95"/>
    </row>
    <row r="267" spans="2:15" s="64" customFormat="1" ht="25.5" hidden="1">
      <c r="B267" s="131" t="s">
        <v>766</v>
      </c>
      <c r="C267" s="77" t="s">
        <v>640</v>
      </c>
      <c r="D267" s="78" t="s">
        <v>647</v>
      </c>
      <c r="E267" s="78" t="s">
        <v>790</v>
      </c>
      <c r="F267" s="77">
        <v>200</v>
      </c>
      <c r="G267" s="79">
        <v>0</v>
      </c>
      <c r="H267" s="79"/>
      <c r="I267" s="79">
        <f t="shared" si="12"/>
        <v>0</v>
      </c>
      <c r="J267" s="79"/>
      <c r="K267" s="71">
        <v>0</v>
      </c>
      <c r="L267" s="71">
        <f t="shared" si="9"/>
        <v>0</v>
      </c>
      <c r="M267" s="95"/>
      <c r="N267" s="95"/>
      <c r="O267" s="95"/>
    </row>
    <row r="268" spans="2:15" s="64" customFormat="1" ht="51" hidden="1">
      <c r="B268" s="131" t="s">
        <v>917</v>
      </c>
      <c r="C268" s="77" t="s">
        <v>640</v>
      </c>
      <c r="D268" s="78" t="s">
        <v>647</v>
      </c>
      <c r="E268" s="78" t="s">
        <v>685</v>
      </c>
      <c r="F268" s="77"/>
      <c r="G268" s="79">
        <f>G269</f>
        <v>0</v>
      </c>
      <c r="H268" s="79">
        <f>H269</f>
        <v>0</v>
      </c>
      <c r="I268" s="79">
        <f t="shared" si="12"/>
        <v>0</v>
      </c>
      <c r="J268" s="79">
        <f>J269</f>
        <v>0</v>
      </c>
      <c r="K268" s="71">
        <v>0</v>
      </c>
      <c r="L268" s="71">
        <f t="shared" si="9"/>
        <v>0</v>
      </c>
      <c r="M268" s="95"/>
      <c r="N268" s="95"/>
      <c r="O268" s="95"/>
    </row>
    <row r="269" spans="2:15" ht="25.5" hidden="1">
      <c r="B269" s="131" t="s">
        <v>766</v>
      </c>
      <c r="C269" s="77" t="s">
        <v>640</v>
      </c>
      <c r="D269" s="78" t="s">
        <v>647</v>
      </c>
      <c r="E269" s="78" t="s">
        <v>685</v>
      </c>
      <c r="F269" s="77">
        <v>200</v>
      </c>
      <c r="G269" s="79"/>
      <c r="H269" s="79"/>
      <c r="I269" s="79">
        <f t="shared" si="12"/>
        <v>0</v>
      </c>
      <c r="J269" s="79"/>
      <c r="K269" s="79">
        <f>K270</f>
        <v>0</v>
      </c>
      <c r="L269" s="71">
        <f>J269+K269</f>
        <v>0</v>
      </c>
      <c r="M269" s="95"/>
      <c r="N269" s="95"/>
      <c r="O269" s="95"/>
    </row>
    <row r="270" spans="2:15" ht="25.5" hidden="1">
      <c r="B270" s="131" t="s">
        <v>926</v>
      </c>
      <c r="C270" s="77" t="s">
        <v>640</v>
      </c>
      <c r="D270" s="78" t="s">
        <v>647</v>
      </c>
      <c r="E270" s="78" t="s">
        <v>748</v>
      </c>
      <c r="F270" s="77"/>
      <c r="G270" s="79">
        <f>G271+G276</f>
        <v>0</v>
      </c>
      <c r="H270" s="79">
        <f>H271+H276</f>
        <v>0</v>
      </c>
      <c r="I270" s="79">
        <f t="shared" si="12"/>
        <v>0</v>
      </c>
      <c r="J270" s="79">
        <f>J271+J276</f>
        <v>0</v>
      </c>
      <c r="K270" s="79">
        <f>K271</f>
        <v>0</v>
      </c>
      <c r="L270" s="71">
        <f>J270+K270</f>
        <v>0</v>
      </c>
      <c r="M270" s="95"/>
      <c r="N270" s="95"/>
      <c r="O270" s="95"/>
    </row>
    <row r="271" spans="2:15" ht="25.5" hidden="1">
      <c r="B271" s="131" t="s">
        <v>965</v>
      </c>
      <c r="C271" s="77" t="s">
        <v>640</v>
      </c>
      <c r="D271" s="78" t="s">
        <v>647</v>
      </c>
      <c r="E271" s="78" t="s">
        <v>963</v>
      </c>
      <c r="F271" s="77"/>
      <c r="G271" s="79">
        <f>G272+G274</f>
        <v>0</v>
      </c>
      <c r="H271" s="79">
        <f>H272+H274</f>
        <v>0</v>
      </c>
      <c r="I271" s="79">
        <f t="shared" si="12"/>
        <v>0</v>
      </c>
      <c r="J271" s="79">
        <f>J272+J274</f>
        <v>0</v>
      </c>
      <c r="K271" s="71">
        <v>0</v>
      </c>
      <c r="L271" s="105">
        <f aca="true" t="shared" si="13" ref="L271:L311">J271+K271</f>
        <v>0</v>
      </c>
      <c r="M271" s="95"/>
      <c r="N271" s="95"/>
      <c r="O271" s="95"/>
    </row>
    <row r="272" spans="2:15" s="64" customFormat="1" ht="25.5" hidden="1">
      <c r="B272" s="131" t="s">
        <v>964</v>
      </c>
      <c r="C272" s="77" t="s">
        <v>640</v>
      </c>
      <c r="D272" s="78" t="s">
        <v>647</v>
      </c>
      <c r="E272" s="78" t="s">
        <v>962</v>
      </c>
      <c r="F272" s="77"/>
      <c r="G272" s="79">
        <f>G273</f>
        <v>0</v>
      </c>
      <c r="H272" s="79">
        <f>H273</f>
        <v>0</v>
      </c>
      <c r="I272" s="79">
        <f t="shared" si="12"/>
        <v>0</v>
      </c>
      <c r="J272" s="79">
        <f>J273</f>
        <v>0</v>
      </c>
      <c r="K272" s="71">
        <f>K273</f>
        <v>0</v>
      </c>
      <c r="L272" s="105">
        <f t="shared" si="13"/>
        <v>0</v>
      </c>
      <c r="M272" s="95"/>
      <c r="N272" s="95"/>
      <c r="O272" s="95"/>
    </row>
    <row r="273" spans="2:15" s="64" customFormat="1" ht="25.5" hidden="1">
      <c r="B273" s="131" t="s">
        <v>766</v>
      </c>
      <c r="C273" s="77" t="s">
        <v>640</v>
      </c>
      <c r="D273" s="78" t="s">
        <v>647</v>
      </c>
      <c r="E273" s="78" t="s">
        <v>962</v>
      </c>
      <c r="F273" s="77">
        <v>200</v>
      </c>
      <c r="G273" s="79"/>
      <c r="H273" s="79"/>
      <c r="I273" s="79">
        <f t="shared" si="12"/>
        <v>0</v>
      </c>
      <c r="J273" s="79"/>
      <c r="K273" s="71">
        <v>0</v>
      </c>
      <c r="L273" s="105">
        <f t="shared" si="13"/>
        <v>0</v>
      </c>
      <c r="M273" s="95"/>
      <c r="N273" s="95"/>
      <c r="O273" s="95"/>
    </row>
    <row r="274" spans="2:15" ht="38.25" hidden="1">
      <c r="B274" s="131" t="s">
        <v>1003</v>
      </c>
      <c r="C274" s="77" t="s">
        <v>640</v>
      </c>
      <c r="D274" s="78" t="s">
        <v>647</v>
      </c>
      <c r="E274" s="78" t="s">
        <v>1002</v>
      </c>
      <c r="F274" s="77"/>
      <c r="G274" s="79">
        <f>G275</f>
        <v>0</v>
      </c>
      <c r="H274" s="79">
        <f>H275</f>
        <v>0</v>
      </c>
      <c r="I274" s="79">
        <f t="shared" si="12"/>
        <v>0</v>
      </c>
      <c r="J274" s="79">
        <f>J275</f>
        <v>0</v>
      </c>
      <c r="K274" s="79">
        <f>K275</f>
        <v>0</v>
      </c>
      <c r="L274" s="105">
        <f t="shared" si="13"/>
        <v>0</v>
      </c>
      <c r="M274" s="95"/>
      <c r="N274" s="95"/>
      <c r="O274" s="95"/>
    </row>
    <row r="275" spans="2:15" ht="25.5" hidden="1">
      <c r="B275" s="131" t="s">
        <v>766</v>
      </c>
      <c r="C275" s="77" t="s">
        <v>640</v>
      </c>
      <c r="D275" s="78" t="s">
        <v>647</v>
      </c>
      <c r="E275" s="78" t="s">
        <v>1002</v>
      </c>
      <c r="F275" s="77" t="s">
        <v>971</v>
      </c>
      <c r="G275" s="79">
        <v>0</v>
      </c>
      <c r="H275" s="79"/>
      <c r="I275" s="79">
        <f t="shared" si="12"/>
        <v>0</v>
      </c>
      <c r="J275" s="79"/>
      <c r="K275" s="71">
        <v>0</v>
      </c>
      <c r="L275" s="105">
        <f t="shared" si="13"/>
        <v>0</v>
      </c>
      <c r="M275" s="95"/>
      <c r="N275" s="95"/>
      <c r="O275" s="95"/>
    </row>
    <row r="276" spans="2:15" ht="38.25" hidden="1">
      <c r="B276" s="131" t="s">
        <v>1041</v>
      </c>
      <c r="C276" s="77" t="s">
        <v>640</v>
      </c>
      <c r="D276" s="78" t="s">
        <v>647</v>
      </c>
      <c r="E276" s="78" t="s">
        <v>1032</v>
      </c>
      <c r="F276" s="77"/>
      <c r="G276" s="79">
        <f>G277</f>
        <v>0</v>
      </c>
      <c r="H276" s="79">
        <f>H277</f>
        <v>0</v>
      </c>
      <c r="I276" s="79">
        <f t="shared" si="12"/>
        <v>0</v>
      </c>
      <c r="J276" s="79">
        <f>J277</f>
        <v>0</v>
      </c>
      <c r="K276" s="79">
        <f>K277</f>
        <v>0</v>
      </c>
      <c r="L276" s="105">
        <f t="shared" si="13"/>
        <v>0</v>
      </c>
      <c r="M276" s="95"/>
      <c r="N276" s="95"/>
      <c r="O276" s="95"/>
    </row>
    <row r="277" spans="2:15" ht="114.75" hidden="1">
      <c r="B277" s="132" t="s">
        <v>1045</v>
      </c>
      <c r="C277" s="77" t="s">
        <v>640</v>
      </c>
      <c r="D277" s="78" t="s">
        <v>647</v>
      </c>
      <c r="E277" s="78" t="s">
        <v>1031</v>
      </c>
      <c r="F277" s="77"/>
      <c r="G277" s="79">
        <f>G278</f>
        <v>0</v>
      </c>
      <c r="H277" s="79">
        <f>H278</f>
        <v>0</v>
      </c>
      <c r="I277" s="79">
        <f t="shared" si="12"/>
        <v>0</v>
      </c>
      <c r="J277" s="79">
        <f>J278</f>
        <v>0</v>
      </c>
      <c r="K277" s="71">
        <v>0</v>
      </c>
      <c r="L277" s="105">
        <f t="shared" si="13"/>
        <v>0</v>
      </c>
      <c r="M277" s="95"/>
      <c r="N277" s="95"/>
      <c r="O277" s="95"/>
    </row>
    <row r="278" spans="2:15" ht="25.5" hidden="1">
      <c r="B278" s="131" t="s">
        <v>766</v>
      </c>
      <c r="C278" s="77" t="s">
        <v>640</v>
      </c>
      <c r="D278" s="78" t="s">
        <v>647</v>
      </c>
      <c r="E278" s="78" t="s">
        <v>1031</v>
      </c>
      <c r="F278" s="77" t="s">
        <v>971</v>
      </c>
      <c r="G278" s="79"/>
      <c r="H278" s="79"/>
      <c r="I278" s="79">
        <f t="shared" si="12"/>
        <v>0</v>
      </c>
      <c r="J278" s="79"/>
      <c r="K278" s="79">
        <f>K279</f>
        <v>0</v>
      </c>
      <c r="L278" s="105">
        <f t="shared" si="13"/>
        <v>0</v>
      </c>
      <c r="M278" s="95"/>
      <c r="N278" s="95"/>
      <c r="O278" s="95"/>
    </row>
    <row r="279" spans="2:15" ht="25.5" hidden="1">
      <c r="B279" s="131" t="s">
        <v>931</v>
      </c>
      <c r="C279" s="77" t="s">
        <v>640</v>
      </c>
      <c r="D279" s="78" t="s">
        <v>647</v>
      </c>
      <c r="E279" s="78" t="s">
        <v>742</v>
      </c>
      <c r="F279" s="77"/>
      <c r="G279" s="79">
        <f>G280</f>
        <v>0</v>
      </c>
      <c r="H279" s="79">
        <f>H280</f>
        <v>0</v>
      </c>
      <c r="I279" s="79">
        <f t="shared" si="12"/>
        <v>0</v>
      </c>
      <c r="J279" s="79">
        <f>J280</f>
        <v>0</v>
      </c>
      <c r="K279" s="71">
        <v>0</v>
      </c>
      <c r="L279" s="105">
        <f t="shared" si="13"/>
        <v>0</v>
      </c>
      <c r="M279" s="95"/>
      <c r="N279" s="95"/>
      <c r="O279" s="95"/>
    </row>
    <row r="280" spans="2:15" ht="25.5" hidden="1">
      <c r="B280" s="131" t="s">
        <v>1075</v>
      </c>
      <c r="C280" s="77" t="s">
        <v>640</v>
      </c>
      <c r="D280" s="78" t="s">
        <v>647</v>
      </c>
      <c r="E280" s="78" t="s">
        <v>1074</v>
      </c>
      <c r="F280" s="77"/>
      <c r="G280" s="79">
        <f>G281</f>
        <v>0</v>
      </c>
      <c r="H280" s="79">
        <f>H281</f>
        <v>0</v>
      </c>
      <c r="I280" s="79">
        <f t="shared" si="12"/>
        <v>0</v>
      </c>
      <c r="J280" s="79">
        <f>J281</f>
        <v>0</v>
      </c>
      <c r="K280" s="79">
        <f>K281</f>
        <v>0</v>
      </c>
      <c r="L280" s="105">
        <f t="shared" si="13"/>
        <v>0</v>
      </c>
      <c r="M280" s="95"/>
      <c r="N280" s="95"/>
      <c r="O280" s="95"/>
    </row>
    <row r="281" spans="2:15" ht="25.5" hidden="1">
      <c r="B281" s="131" t="s">
        <v>766</v>
      </c>
      <c r="C281" s="77" t="s">
        <v>640</v>
      </c>
      <c r="D281" s="78" t="s">
        <v>647</v>
      </c>
      <c r="E281" s="78" t="s">
        <v>1074</v>
      </c>
      <c r="F281" s="77" t="s">
        <v>971</v>
      </c>
      <c r="G281" s="79"/>
      <c r="H281" s="79"/>
      <c r="I281" s="79">
        <f t="shared" si="12"/>
        <v>0</v>
      </c>
      <c r="J281" s="79"/>
      <c r="K281" s="79">
        <f>K282</f>
        <v>0</v>
      </c>
      <c r="L281" s="105">
        <f t="shared" si="13"/>
        <v>0</v>
      </c>
      <c r="M281" s="95"/>
      <c r="N281" s="95"/>
      <c r="O281" s="95"/>
    </row>
    <row r="282" spans="2:15" ht="24" hidden="1">
      <c r="B282" s="88" t="s">
        <v>1167</v>
      </c>
      <c r="C282" s="77" t="s">
        <v>640</v>
      </c>
      <c r="D282" s="78" t="s">
        <v>647</v>
      </c>
      <c r="E282" s="78" t="s">
        <v>1168</v>
      </c>
      <c r="F282" s="77"/>
      <c r="G282" s="79">
        <f aca="true" t="shared" si="14" ref="G282:H284">G283</f>
        <v>0</v>
      </c>
      <c r="H282" s="79">
        <f t="shared" si="14"/>
        <v>0</v>
      </c>
      <c r="I282" s="79">
        <f t="shared" si="12"/>
        <v>0</v>
      </c>
      <c r="J282" s="79">
        <f>J283</f>
        <v>0</v>
      </c>
      <c r="K282" s="71"/>
      <c r="L282" s="105">
        <f t="shared" si="13"/>
        <v>0</v>
      </c>
      <c r="M282" s="95"/>
      <c r="N282" s="95"/>
      <c r="O282" s="95"/>
    </row>
    <row r="283" spans="2:15" s="64" customFormat="1" ht="24" hidden="1">
      <c r="B283" s="88" t="s">
        <v>1342</v>
      </c>
      <c r="C283" s="77" t="s">
        <v>640</v>
      </c>
      <c r="D283" s="78" t="s">
        <v>647</v>
      </c>
      <c r="E283" s="78" t="s">
        <v>1343</v>
      </c>
      <c r="F283" s="77"/>
      <c r="G283" s="79">
        <f t="shared" si="14"/>
        <v>0</v>
      </c>
      <c r="H283" s="79">
        <f t="shared" si="14"/>
        <v>0</v>
      </c>
      <c r="I283" s="79">
        <f t="shared" si="12"/>
        <v>0</v>
      </c>
      <c r="J283" s="79">
        <f>J284</f>
        <v>0</v>
      </c>
      <c r="K283" s="71">
        <f>K284+K286+K292+K289+K294</f>
        <v>0</v>
      </c>
      <c r="L283" s="105">
        <f t="shared" si="13"/>
        <v>0</v>
      </c>
      <c r="M283" s="95"/>
      <c r="N283" s="95"/>
      <c r="O283" s="95"/>
    </row>
    <row r="284" spans="2:15" s="64" customFormat="1" ht="24" hidden="1">
      <c r="B284" s="88" t="s">
        <v>1344</v>
      </c>
      <c r="C284" s="77" t="s">
        <v>640</v>
      </c>
      <c r="D284" s="78" t="s">
        <v>647</v>
      </c>
      <c r="E284" s="78" t="s">
        <v>1345</v>
      </c>
      <c r="F284" s="77"/>
      <c r="G284" s="79">
        <f t="shared" si="14"/>
        <v>0</v>
      </c>
      <c r="H284" s="79">
        <f t="shared" si="14"/>
        <v>0</v>
      </c>
      <c r="I284" s="79">
        <f t="shared" si="12"/>
        <v>0</v>
      </c>
      <c r="J284" s="79">
        <f>J285</f>
        <v>0</v>
      </c>
      <c r="K284" s="71">
        <f>K285</f>
        <v>0</v>
      </c>
      <c r="L284" s="105">
        <f t="shared" si="13"/>
        <v>0</v>
      </c>
      <c r="M284" s="95"/>
      <c r="N284" s="95"/>
      <c r="O284" s="95"/>
    </row>
    <row r="285" spans="2:15" s="64" customFormat="1" ht="24" hidden="1">
      <c r="B285" s="88" t="s">
        <v>766</v>
      </c>
      <c r="C285" s="77" t="s">
        <v>640</v>
      </c>
      <c r="D285" s="78" t="s">
        <v>647</v>
      </c>
      <c r="E285" s="78" t="s">
        <v>1345</v>
      </c>
      <c r="F285" s="77" t="s">
        <v>971</v>
      </c>
      <c r="G285" s="79">
        <v>0</v>
      </c>
      <c r="H285" s="79">
        <v>0</v>
      </c>
      <c r="I285" s="79">
        <f t="shared" si="12"/>
        <v>0</v>
      </c>
      <c r="J285" s="79">
        <v>0</v>
      </c>
      <c r="K285" s="71">
        <v>0</v>
      </c>
      <c r="L285" s="105">
        <f t="shared" si="13"/>
        <v>0</v>
      </c>
      <c r="M285" s="95"/>
      <c r="N285" s="95"/>
      <c r="O285" s="95"/>
    </row>
    <row r="286" spans="2:15" s="64" customFormat="1" ht="12.75">
      <c r="B286" s="130" t="s">
        <v>954</v>
      </c>
      <c r="C286" s="117" t="s">
        <v>646</v>
      </c>
      <c r="D286" s="128"/>
      <c r="E286" s="128"/>
      <c r="F286" s="117"/>
      <c r="G286" s="129">
        <f>G287</f>
        <v>17727405</v>
      </c>
      <c r="H286" s="129">
        <f>H287</f>
        <v>-14402205</v>
      </c>
      <c r="I286" s="129">
        <f t="shared" si="12"/>
        <v>3325200</v>
      </c>
      <c r="J286" s="129">
        <f>J287</f>
        <v>3678200</v>
      </c>
      <c r="K286" s="71">
        <f>K288+K287</f>
        <v>0</v>
      </c>
      <c r="L286" s="105">
        <f t="shared" si="13"/>
        <v>3678200</v>
      </c>
      <c r="M286" s="95"/>
      <c r="N286" s="95"/>
      <c r="O286" s="95"/>
    </row>
    <row r="287" spans="2:15" s="64" customFormat="1" ht="12.75">
      <c r="B287" s="130" t="s">
        <v>576</v>
      </c>
      <c r="C287" s="117" t="s">
        <v>646</v>
      </c>
      <c r="D287" s="128" t="s">
        <v>638</v>
      </c>
      <c r="E287" s="128"/>
      <c r="F287" s="117"/>
      <c r="G287" s="129">
        <f>G297+G300+G289+G293+G303</f>
        <v>17727405</v>
      </c>
      <c r="H287" s="129">
        <f>H297+H300+H289+H293+H303</f>
        <v>-14402205</v>
      </c>
      <c r="I287" s="129">
        <f t="shared" si="12"/>
        <v>3325200</v>
      </c>
      <c r="J287" s="129">
        <f>J297+J300+J289+J293+J303</f>
        <v>3678200</v>
      </c>
      <c r="K287" s="71">
        <v>0</v>
      </c>
      <c r="L287" s="105">
        <f t="shared" si="13"/>
        <v>3678200</v>
      </c>
      <c r="M287" s="95"/>
      <c r="N287" s="95"/>
      <c r="O287" s="95"/>
    </row>
    <row r="288" spans="2:15" s="64" customFormat="1" ht="51">
      <c r="B288" s="131" t="s">
        <v>1204</v>
      </c>
      <c r="C288" s="77" t="s">
        <v>646</v>
      </c>
      <c r="D288" s="78" t="s">
        <v>638</v>
      </c>
      <c r="E288" s="78" t="s">
        <v>1177</v>
      </c>
      <c r="F288" s="77"/>
      <c r="G288" s="79">
        <f>G289+G293</f>
        <v>0</v>
      </c>
      <c r="H288" s="79">
        <f>H289+H293</f>
        <v>3325200</v>
      </c>
      <c r="I288" s="79">
        <f t="shared" si="12"/>
        <v>3325200</v>
      </c>
      <c r="J288" s="79">
        <f>J289+J293</f>
        <v>3678200</v>
      </c>
      <c r="K288" s="71">
        <v>0</v>
      </c>
      <c r="L288" s="105">
        <f t="shared" si="13"/>
        <v>3678200</v>
      </c>
      <c r="M288" s="95"/>
      <c r="N288" s="95"/>
      <c r="O288" s="95"/>
    </row>
    <row r="289" spans="2:15" s="64" customFormat="1" ht="12.75">
      <c r="B289" s="131" t="s">
        <v>1205</v>
      </c>
      <c r="C289" s="77" t="s">
        <v>646</v>
      </c>
      <c r="D289" s="78" t="s">
        <v>638</v>
      </c>
      <c r="E289" s="78" t="s">
        <v>1206</v>
      </c>
      <c r="F289" s="77"/>
      <c r="G289" s="79">
        <f aca="true" t="shared" si="15" ref="G289:J291">G290</f>
        <v>0</v>
      </c>
      <c r="H289" s="79">
        <f t="shared" si="15"/>
        <v>1822300</v>
      </c>
      <c r="I289" s="79">
        <f t="shared" si="12"/>
        <v>1822300</v>
      </c>
      <c r="J289" s="79">
        <f t="shared" si="15"/>
        <v>1822300</v>
      </c>
      <c r="K289" s="71">
        <f>K291+K290</f>
        <v>0</v>
      </c>
      <c r="L289" s="105">
        <f t="shared" si="13"/>
        <v>1822300</v>
      </c>
      <c r="M289" s="95"/>
      <c r="N289" s="95"/>
      <c r="O289" s="95"/>
    </row>
    <row r="290" spans="2:15" s="64" customFormat="1" ht="25.5">
      <c r="B290" s="131" t="s">
        <v>1207</v>
      </c>
      <c r="C290" s="77" t="s">
        <v>646</v>
      </c>
      <c r="D290" s="78" t="s">
        <v>638</v>
      </c>
      <c r="E290" s="78" t="s">
        <v>763</v>
      </c>
      <c r="F290" s="77"/>
      <c r="G290" s="79">
        <f t="shared" si="15"/>
        <v>0</v>
      </c>
      <c r="H290" s="79">
        <f t="shared" si="15"/>
        <v>1822300</v>
      </c>
      <c r="I290" s="79">
        <f t="shared" si="12"/>
        <v>1822300</v>
      </c>
      <c r="J290" s="79">
        <f t="shared" si="15"/>
        <v>1822300</v>
      </c>
      <c r="K290" s="71">
        <v>0</v>
      </c>
      <c r="L290" s="105">
        <f t="shared" si="13"/>
        <v>1822300</v>
      </c>
      <c r="M290" s="95"/>
      <c r="N290" s="95"/>
      <c r="O290" s="95"/>
    </row>
    <row r="291" spans="2:15" s="64" customFormat="1" ht="38.25">
      <c r="B291" s="131" t="s">
        <v>925</v>
      </c>
      <c r="C291" s="77" t="s">
        <v>646</v>
      </c>
      <c r="D291" s="78" t="s">
        <v>638</v>
      </c>
      <c r="E291" s="78" t="s">
        <v>1208</v>
      </c>
      <c r="F291" s="77"/>
      <c r="G291" s="79">
        <f t="shared" si="15"/>
        <v>0</v>
      </c>
      <c r="H291" s="79">
        <f t="shared" si="15"/>
        <v>1822300</v>
      </c>
      <c r="I291" s="79">
        <f t="shared" si="12"/>
        <v>1822300</v>
      </c>
      <c r="J291" s="79">
        <f t="shared" si="15"/>
        <v>1822300</v>
      </c>
      <c r="K291" s="71">
        <v>0</v>
      </c>
      <c r="L291" s="105">
        <f t="shared" si="13"/>
        <v>1822300</v>
      </c>
      <c r="M291" s="95"/>
      <c r="N291" s="95"/>
      <c r="O291" s="95"/>
    </row>
    <row r="292" spans="2:15" s="64" customFormat="1" ht="12.75">
      <c r="B292" s="131" t="s">
        <v>769</v>
      </c>
      <c r="C292" s="77" t="s">
        <v>646</v>
      </c>
      <c r="D292" s="78" t="s">
        <v>638</v>
      </c>
      <c r="E292" s="78" t="s">
        <v>1208</v>
      </c>
      <c r="F292" s="77" t="s">
        <v>967</v>
      </c>
      <c r="G292" s="79">
        <v>0</v>
      </c>
      <c r="H292" s="79">
        <v>1822300</v>
      </c>
      <c r="I292" s="79">
        <f t="shared" si="12"/>
        <v>1822300</v>
      </c>
      <c r="J292" s="79">
        <v>1822300</v>
      </c>
      <c r="K292" s="71">
        <f>K293</f>
        <v>0</v>
      </c>
      <c r="L292" s="105">
        <f t="shared" si="13"/>
        <v>1822300</v>
      </c>
      <c r="M292" s="95"/>
      <c r="N292" s="95"/>
      <c r="O292" s="95"/>
    </row>
    <row r="293" spans="2:15" s="64" customFormat="1" ht="24">
      <c r="B293" s="88" t="s">
        <v>1346</v>
      </c>
      <c r="C293" s="77" t="s">
        <v>646</v>
      </c>
      <c r="D293" s="78" t="s">
        <v>638</v>
      </c>
      <c r="E293" s="78" t="s">
        <v>1347</v>
      </c>
      <c r="F293" s="77"/>
      <c r="G293" s="79">
        <f aca="true" t="shared" si="16" ref="G293:J295">G294</f>
        <v>0</v>
      </c>
      <c r="H293" s="79">
        <f t="shared" si="16"/>
        <v>1502900</v>
      </c>
      <c r="I293" s="79">
        <f t="shared" si="12"/>
        <v>1502900</v>
      </c>
      <c r="J293" s="79">
        <f t="shared" si="16"/>
        <v>1855900</v>
      </c>
      <c r="K293" s="71">
        <v>0</v>
      </c>
      <c r="L293" s="105">
        <f t="shared" si="13"/>
        <v>1855900</v>
      </c>
      <c r="M293" s="95"/>
      <c r="N293" s="95"/>
      <c r="O293" s="95"/>
    </row>
    <row r="294" spans="2:15" s="64" customFormat="1" ht="24">
      <c r="B294" s="88" t="s">
        <v>1348</v>
      </c>
      <c r="C294" s="77" t="s">
        <v>646</v>
      </c>
      <c r="D294" s="78" t="s">
        <v>638</v>
      </c>
      <c r="E294" s="78" t="s">
        <v>739</v>
      </c>
      <c r="F294" s="77"/>
      <c r="G294" s="79">
        <f t="shared" si="16"/>
        <v>0</v>
      </c>
      <c r="H294" s="79">
        <f t="shared" si="16"/>
        <v>1502900</v>
      </c>
      <c r="I294" s="79">
        <f t="shared" si="12"/>
        <v>1502900</v>
      </c>
      <c r="J294" s="79">
        <f t="shared" si="16"/>
        <v>1855900</v>
      </c>
      <c r="K294" s="71">
        <f>K296+K295</f>
        <v>0</v>
      </c>
      <c r="L294" s="105">
        <f t="shared" si="13"/>
        <v>1855900</v>
      </c>
      <c r="M294" s="95"/>
      <c r="N294" s="95"/>
      <c r="O294" s="95"/>
    </row>
    <row r="295" spans="2:15" s="64" customFormat="1" ht="72">
      <c r="B295" s="90" t="s">
        <v>1349</v>
      </c>
      <c r="C295" s="77" t="s">
        <v>646</v>
      </c>
      <c r="D295" s="78" t="s">
        <v>638</v>
      </c>
      <c r="E295" s="78" t="s">
        <v>1350</v>
      </c>
      <c r="F295" s="77"/>
      <c r="G295" s="79">
        <f t="shared" si="16"/>
        <v>0</v>
      </c>
      <c r="H295" s="79">
        <f t="shared" si="16"/>
        <v>1502900</v>
      </c>
      <c r="I295" s="79">
        <f t="shared" si="12"/>
        <v>1502900</v>
      </c>
      <c r="J295" s="79">
        <f t="shared" si="16"/>
        <v>1855900</v>
      </c>
      <c r="K295" s="71">
        <v>0</v>
      </c>
      <c r="L295" s="105">
        <f t="shared" si="13"/>
        <v>1855900</v>
      </c>
      <c r="M295" s="95"/>
      <c r="N295" s="95"/>
      <c r="O295" s="95"/>
    </row>
    <row r="296" spans="2:15" s="64" customFormat="1" ht="12.75">
      <c r="B296" s="88" t="s">
        <v>769</v>
      </c>
      <c r="C296" s="77" t="s">
        <v>646</v>
      </c>
      <c r="D296" s="78" t="s">
        <v>638</v>
      </c>
      <c r="E296" s="78" t="s">
        <v>1350</v>
      </c>
      <c r="F296" s="77" t="s">
        <v>967</v>
      </c>
      <c r="G296" s="79">
        <v>0</v>
      </c>
      <c r="H296" s="79">
        <v>1502900</v>
      </c>
      <c r="I296" s="79">
        <f t="shared" si="12"/>
        <v>1502900</v>
      </c>
      <c r="J296" s="79">
        <v>1855900</v>
      </c>
      <c r="K296" s="71">
        <v>0</v>
      </c>
      <c r="L296" s="105">
        <f t="shared" si="13"/>
        <v>1855900</v>
      </c>
      <c r="M296" s="95"/>
      <c r="N296" s="95"/>
      <c r="O296" s="95"/>
    </row>
    <row r="297" spans="2:15" s="64" customFormat="1" ht="25.5">
      <c r="B297" s="131" t="s">
        <v>918</v>
      </c>
      <c r="C297" s="77" t="s">
        <v>646</v>
      </c>
      <c r="D297" s="78" t="s">
        <v>638</v>
      </c>
      <c r="E297" s="78" t="s">
        <v>745</v>
      </c>
      <c r="F297" s="77"/>
      <c r="G297" s="79">
        <f>G298</f>
        <v>1686000</v>
      </c>
      <c r="H297" s="79">
        <f>H298</f>
        <v>-1686000</v>
      </c>
      <c r="I297" s="79">
        <f t="shared" si="12"/>
        <v>0</v>
      </c>
      <c r="J297" s="79">
        <f>J298</f>
        <v>0</v>
      </c>
      <c r="K297" s="71">
        <f>K308+K298+K303</f>
        <v>0</v>
      </c>
      <c r="L297" s="71">
        <f t="shared" si="13"/>
        <v>0</v>
      </c>
      <c r="M297" s="95"/>
      <c r="N297" s="95"/>
      <c r="O297" s="95"/>
    </row>
    <row r="298" spans="2:15" s="64" customFormat="1" ht="38.25">
      <c r="B298" s="131" t="s">
        <v>925</v>
      </c>
      <c r="C298" s="77" t="s">
        <v>646</v>
      </c>
      <c r="D298" s="78" t="s">
        <v>638</v>
      </c>
      <c r="E298" s="78" t="s">
        <v>688</v>
      </c>
      <c r="F298" s="77"/>
      <c r="G298" s="79">
        <f>G299</f>
        <v>1686000</v>
      </c>
      <c r="H298" s="79">
        <f>H299</f>
        <v>-1686000</v>
      </c>
      <c r="I298" s="79">
        <f t="shared" si="12"/>
        <v>0</v>
      </c>
      <c r="J298" s="79">
        <f>J299</f>
        <v>0</v>
      </c>
      <c r="K298" s="71">
        <f>K299+K301</f>
        <v>0</v>
      </c>
      <c r="L298" s="71">
        <f t="shared" si="13"/>
        <v>0</v>
      </c>
      <c r="M298" s="95"/>
      <c r="N298" s="95"/>
      <c r="O298" s="95"/>
    </row>
    <row r="299" spans="2:15" s="64" customFormat="1" ht="12.75">
      <c r="B299" s="131" t="s">
        <v>769</v>
      </c>
      <c r="C299" s="77" t="s">
        <v>646</v>
      </c>
      <c r="D299" s="78" t="s">
        <v>638</v>
      </c>
      <c r="E299" s="78" t="s">
        <v>688</v>
      </c>
      <c r="F299" s="77">
        <v>800</v>
      </c>
      <c r="G299" s="79">
        <v>1686000</v>
      </c>
      <c r="H299" s="79">
        <v>-1686000</v>
      </c>
      <c r="I299" s="79">
        <f t="shared" si="12"/>
        <v>0</v>
      </c>
      <c r="J299" s="79">
        <v>0</v>
      </c>
      <c r="K299" s="71">
        <f>K300</f>
        <v>0</v>
      </c>
      <c r="L299" s="71">
        <f t="shared" si="13"/>
        <v>0</v>
      </c>
      <c r="M299" s="95"/>
      <c r="N299" s="95"/>
      <c r="O299" s="95"/>
    </row>
    <row r="300" spans="2:15" s="64" customFormat="1" ht="24" customHeight="1" hidden="1">
      <c r="B300" s="131" t="s">
        <v>947</v>
      </c>
      <c r="C300" s="77" t="s">
        <v>646</v>
      </c>
      <c r="D300" s="78" t="s">
        <v>638</v>
      </c>
      <c r="E300" s="78" t="s">
        <v>948</v>
      </c>
      <c r="F300" s="77"/>
      <c r="G300" s="79">
        <f>G301</f>
        <v>16041405</v>
      </c>
      <c r="H300" s="79">
        <f>H301</f>
        <v>-16041405</v>
      </c>
      <c r="I300" s="79">
        <f t="shared" si="12"/>
        <v>0</v>
      </c>
      <c r="J300" s="79">
        <f>J301</f>
        <v>0</v>
      </c>
      <c r="K300" s="71">
        <v>0</v>
      </c>
      <c r="L300" s="71">
        <f t="shared" si="13"/>
        <v>0</v>
      </c>
      <c r="M300" s="95"/>
      <c r="N300" s="95"/>
      <c r="O300" s="95"/>
    </row>
    <row r="301" spans="2:15" s="64" customFormat="1" ht="24" customHeight="1" hidden="1">
      <c r="B301" s="131" t="s">
        <v>938</v>
      </c>
      <c r="C301" s="77" t="s">
        <v>646</v>
      </c>
      <c r="D301" s="78" t="s">
        <v>638</v>
      </c>
      <c r="E301" s="78" t="s">
        <v>691</v>
      </c>
      <c r="F301" s="77"/>
      <c r="G301" s="79">
        <f>G302</f>
        <v>16041405</v>
      </c>
      <c r="H301" s="79">
        <f>H302</f>
        <v>-16041405</v>
      </c>
      <c r="I301" s="79">
        <f t="shared" si="12"/>
        <v>0</v>
      </c>
      <c r="J301" s="79">
        <f>J302</f>
        <v>0</v>
      </c>
      <c r="K301" s="71">
        <f>K302</f>
        <v>0</v>
      </c>
      <c r="L301" s="71">
        <f t="shared" si="13"/>
        <v>0</v>
      </c>
      <c r="M301" s="95"/>
      <c r="N301" s="95"/>
      <c r="O301" s="95"/>
    </row>
    <row r="302" spans="2:15" s="64" customFormat="1" ht="12.75" customHeight="1" hidden="1">
      <c r="B302" s="131" t="s">
        <v>772</v>
      </c>
      <c r="C302" s="77" t="s">
        <v>646</v>
      </c>
      <c r="D302" s="78" t="s">
        <v>638</v>
      </c>
      <c r="E302" s="78" t="s">
        <v>691</v>
      </c>
      <c r="F302" s="77">
        <v>400</v>
      </c>
      <c r="G302" s="79">
        <v>16041405</v>
      </c>
      <c r="H302" s="79">
        <v>-16041405</v>
      </c>
      <c r="I302" s="79">
        <f t="shared" si="12"/>
        <v>0</v>
      </c>
      <c r="J302" s="79">
        <v>0</v>
      </c>
      <c r="K302" s="71">
        <v>0</v>
      </c>
      <c r="L302" s="71">
        <f t="shared" si="13"/>
        <v>0</v>
      </c>
      <c r="M302" s="95"/>
      <c r="N302" s="95"/>
      <c r="O302" s="95"/>
    </row>
    <row r="303" spans="2:15" s="64" customFormat="1" ht="24" customHeight="1" hidden="1">
      <c r="B303" s="131"/>
      <c r="C303" s="77" t="s">
        <v>646</v>
      </c>
      <c r="D303" s="78" t="s">
        <v>638</v>
      </c>
      <c r="E303" s="78" t="s">
        <v>1162</v>
      </c>
      <c r="F303" s="77"/>
      <c r="G303" s="79">
        <f aca="true" t="shared" si="17" ref="G303:H307">G304</f>
        <v>0</v>
      </c>
      <c r="H303" s="79">
        <f t="shared" si="17"/>
        <v>0</v>
      </c>
      <c r="I303" s="79"/>
      <c r="J303" s="79">
        <f>J304</f>
        <v>0</v>
      </c>
      <c r="K303" s="71">
        <f>K304+K306</f>
        <v>0</v>
      </c>
      <c r="L303" s="71">
        <f t="shared" si="13"/>
        <v>0</v>
      </c>
      <c r="M303" s="95"/>
      <c r="N303" s="95"/>
      <c r="O303" s="95"/>
    </row>
    <row r="304" spans="2:15" s="64" customFormat="1" ht="24" customHeight="1" hidden="1">
      <c r="B304" s="131"/>
      <c r="C304" s="77" t="s">
        <v>646</v>
      </c>
      <c r="D304" s="78" t="s">
        <v>638</v>
      </c>
      <c r="E304" s="78" t="s">
        <v>1297</v>
      </c>
      <c r="F304" s="77"/>
      <c r="G304" s="79">
        <f t="shared" si="17"/>
        <v>0</v>
      </c>
      <c r="H304" s="79">
        <f t="shared" si="17"/>
        <v>0</v>
      </c>
      <c r="I304" s="79"/>
      <c r="J304" s="79">
        <f>J305</f>
        <v>0</v>
      </c>
      <c r="K304" s="71">
        <f>K305</f>
        <v>0</v>
      </c>
      <c r="L304" s="71">
        <f t="shared" si="13"/>
        <v>0</v>
      </c>
      <c r="M304" s="95"/>
      <c r="N304" s="95"/>
      <c r="O304" s="95"/>
    </row>
    <row r="305" spans="2:15" s="64" customFormat="1" ht="12.75" customHeight="1" hidden="1">
      <c r="B305" s="131" t="s">
        <v>918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17"/>
        <v>0</v>
      </c>
      <c r="H305" s="79">
        <f t="shared" si="17"/>
        <v>0</v>
      </c>
      <c r="I305" s="79">
        <f>G305+H305</f>
        <v>0</v>
      </c>
      <c r="J305" s="79">
        <f>J306</f>
        <v>0</v>
      </c>
      <c r="K305" s="71">
        <v>0</v>
      </c>
      <c r="L305" s="71">
        <f t="shared" si="13"/>
        <v>0</v>
      </c>
      <c r="M305" s="95"/>
      <c r="N305" s="95"/>
      <c r="O305" s="95"/>
    </row>
    <row r="306" spans="2:15" s="64" customFormat="1" ht="24" customHeight="1" hidden="1">
      <c r="B306" s="131" t="s">
        <v>919</v>
      </c>
      <c r="C306" s="77" t="s">
        <v>646</v>
      </c>
      <c r="D306" s="78" t="s">
        <v>638</v>
      </c>
      <c r="E306" s="78" t="s">
        <v>1304</v>
      </c>
      <c r="F306" s="77"/>
      <c r="G306" s="79">
        <f t="shared" si="17"/>
        <v>0</v>
      </c>
      <c r="H306" s="79">
        <f t="shared" si="17"/>
        <v>0</v>
      </c>
      <c r="I306" s="79">
        <f>G306+H306</f>
        <v>0</v>
      </c>
      <c r="J306" s="79">
        <f>J307</f>
        <v>0</v>
      </c>
      <c r="K306" s="71">
        <f>K307</f>
        <v>0</v>
      </c>
      <c r="L306" s="71">
        <f t="shared" si="13"/>
        <v>0</v>
      </c>
      <c r="M306" s="95"/>
      <c r="N306" s="95"/>
      <c r="O306" s="95"/>
    </row>
    <row r="307" spans="2:15" s="64" customFormat="1" ht="38.25" hidden="1">
      <c r="B307" s="131" t="s">
        <v>920</v>
      </c>
      <c r="C307" s="77" t="s">
        <v>646</v>
      </c>
      <c r="D307" s="78" t="s">
        <v>638</v>
      </c>
      <c r="E307" s="78" t="s">
        <v>1411</v>
      </c>
      <c r="F307" s="77"/>
      <c r="G307" s="79">
        <f t="shared" si="17"/>
        <v>0</v>
      </c>
      <c r="H307" s="79">
        <f t="shared" si="17"/>
        <v>0</v>
      </c>
      <c r="I307" s="79">
        <f>G307+H307</f>
        <v>0</v>
      </c>
      <c r="J307" s="79">
        <f>J308</f>
        <v>0</v>
      </c>
      <c r="K307" s="71">
        <v>0</v>
      </c>
      <c r="L307" s="71">
        <f t="shared" si="13"/>
        <v>0</v>
      </c>
      <c r="M307" s="95"/>
      <c r="N307" s="95"/>
      <c r="O307" s="95"/>
    </row>
    <row r="308" spans="2:15" s="64" customFormat="1" ht="12.75" hidden="1">
      <c r="B308" s="131" t="s">
        <v>768</v>
      </c>
      <c r="C308" s="77" t="s">
        <v>646</v>
      </c>
      <c r="D308" s="78" t="s">
        <v>638</v>
      </c>
      <c r="E308" s="78" t="s">
        <v>1411</v>
      </c>
      <c r="F308" s="77">
        <v>500</v>
      </c>
      <c r="G308" s="79"/>
      <c r="H308" s="79"/>
      <c r="I308" s="79">
        <f>G308+H308</f>
        <v>0</v>
      </c>
      <c r="J308" s="79"/>
      <c r="K308" s="71">
        <f>K309</f>
        <v>0</v>
      </c>
      <c r="L308" s="71">
        <f t="shared" si="13"/>
        <v>0</v>
      </c>
      <c r="M308" s="95"/>
      <c r="N308" s="95"/>
      <c r="O308" s="95"/>
    </row>
    <row r="309" spans="2:15" s="64" customFormat="1" ht="12.75">
      <c r="B309" s="130" t="s">
        <v>952</v>
      </c>
      <c r="C309" s="117" t="s">
        <v>648</v>
      </c>
      <c r="D309" s="128"/>
      <c r="E309" s="128"/>
      <c r="F309" s="117"/>
      <c r="G309" s="129">
        <f>G310+G346+G431+G443+G390</f>
        <v>532631828</v>
      </c>
      <c r="H309" s="129">
        <f>H310+H346+H431+H443+H390</f>
        <v>56336606</v>
      </c>
      <c r="I309" s="129">
        <f aca="true" t="shared" si="18" ref="I309:I372">G309+H309</f>
        <v>588968434</v>
      </c>
      <c r="J309" s="129">
        <f>J310+J346+J431+J443+J390</f>
        <v>372377995</v>
      </c>
      <c r="K309" s="71">
        <f>K310+K312</f>
        <v>0</v>
      </c>
      <c r="L309" s="71">
        <f t="shared" si="13"/>
        <v>372377995</v>
      </c>
      <c r="M309" s="95"/>
      <c r="N309" s="95"/>
      <c r="O309" s="95"/>
    </row>
    <row r="310" spans="2:15" s="64" customFormat="1" ht="18.75" customHeight="1">
      <c r="B310" s="130" t="s">
        <v>393</v>
      </c>
      <c r="C310" s="117" t="s">
        <v>648</v>
      </c>
      <c r="D310" s="128" t="s">
        <v>637</v>
      </c>
      <c r="E310" s="128"/>
      <c r="F310" s="117"/>
      <c r="G310" s="129">
        <f>G311+G320+G323</f>
        <v>83253921</v>
      </c>
      <c r="H310" s="129">
        <f>H311+H320+H323</f>
        <v>20562679</v>
      </c>
      <c r="I310" s="129">
        <f t="shared" si="18"/>
        <v>103816600</v>
      </c>
      <c r="J310" s="129">
        <f>J311+J320+J323</f>
        <v>103816600</v>
      </c>
      <c r="K310" s="71">
        <f>K311</f>
        <v>0</v>
      </c>
      <c r="L310" s="71">
        <f t="shared" si="13"/>
        <v>103816600</v>
      </c>
      <c r="M310" s="95"/>
      <c r="N310" s="95"/>
      <c r="O310" s="95"/>
    </row>
    <row r="311" spans="2:15" s="64" customFormat="1" ht="12.75">
      <c r="B311" s="131" t="s">
        <v>1070</v>
      </c>
      <c r="C311" s="77" t="s">
        <v>648</v>
      </c>
      <c r="D311" s="78" t="s">
        <v>637</v>
      </c>
      <c r="E311" s="78" t="s">
        <v>757</v>
      </c>
      <c r="F311" s="77"/>
      <c r="G311" s="79">
        <f>G312+G316+G314+G318</f>
        <v>83253921</v>
      </c>
      <c r="H311" s="79">
        <f>H312+H316+H314+H318</f>
        <v>-83253921</v>
      </c>
      <c r="I311" s="79">
        <f t="shared" si="18"/>
        <v>0</v>
      </c>
      <c r="J311" s="79">
        <f>J312+J316+J314+J318</f>
        <v>0</v>
      </c>
      <c r="K311" s="71">
        <v>0</v>
      </c>
      <c r="L311" s="105">
        <f t="shared" si="13"/>
        <v>0</v>
      </c>
      <c r="M311" s="95"/>
      <c r="N311" s="95"/>
      <c r="O311" s="95"/>
    </row>
    <row r="312" spans="2:15" s="64" customFormat="1" ht="25.5">
      <c r="B312" s="131" t="s">
        <v>853</v>
      </c>
      <c r="C312" s="77" t="s">
        <v>648</v>
      </c>
      <c r="D312" s="78" t="s">
        <v>637</v>
      </c>
      <c r="E312" s="78" t="s">
        <v>714</v>
      </c>
      <c r="F312" s="77"/>
      <c r="G312" s="79">
        <f>G313</f>
        <v>31593627</v>
      </c>
      <c r="H312" s="79">
        <f>H313</f>
        <v>-31593627</v>
      </c>
      <c r="I312" s="79">
        <f t="shared" si="18"/>
        <v>0</v>
      </c>
      <c r="J312" s="79">
        <f>J313</f>
        <v>0</v>
      </c>
      <c r="K312" s="71">
        <f>K313</f>
        <v>0</v>
      </c>
      <c r="L312" s="71">
        <f>J312+K312</f>
        <v>0</v>
      </c>
      <c r="M312" s="95"/>
      <c r="N312" s="95"/>
      <c r="O312" s="95"/>
    </row>
    <row r="313" spans="2:15" s="64" customFormat="1" ht="25.5">
      <c r="B313" s="131" t="s">
        <v>767</v>
      </c>
      <c r="C313" s="77" t="s">
        <v>648</v>
      </c>
      <c r="D313" s="78" t="s">
        <v>637</v>
      </c>
      <c r="E313" s="78" t="s">
        <v>714</v>
      </c>
      <c r="F313" s="77">
        <v>600</v>
      </c>
      <c r="G313" s="79">
        <f>29104673+2488954</f>
        <v>31593627</v>
      </c>
      <c r="H313" s="79">
        <v>-31593627</v>
      </c>
      <c r="I313" s="79">
        <f t="shared" si="18"/>
        <v>0</v>
      </c>
      <c r="J313" s="79"/>
      <c r="K313" s="71">
        <v>0</v>
      </c>
      <c r="L313" s="105">
        <f>J313+K313</f>
        <v>0</v>
      </c>
      <c r="M313" s="95"/>
      <c r="N313" s="95"/>
      <c r="O313" s="95"/>
    </row>
    <row r="314" spans="2:15" ht="102">
      <c r="B314" s="132" t="s">
        <v>1128</v>
      </c>
      <c r="C314" s="77" t="s">
        <v>648</v>
      </c>
      <c r="D314" s="78" t="s">
        <v>637</v>
      </c>
      <c r="E314" s="78" t="s">
        <v>1129</v>
      </c>
      <c r="F314" s="77"/>
      <c r="G314" s="79">
        <f>G315</f>
        <v>834900</v>
      </c>
      <c r="H314" s="79">
        <f>H315</f>
        <v>-834900</v>
      </c>
      <c r="I314" s="79">
        <f t="shared" si="18"/>
        <v>0</v>
      </c>
      <c r="J314" s="79">
        <f>J315</f>
        <v>0</v>
      </c>
      <c r="K314" s="79">
        <f>K315+K337+K409+K420+K434+K395</f>
        <v>0</v>
      </c>
      <c r="L314" s="71">
        <f>J314+K314</f>
        <v>0</v>
      </c>
      <c r="M314" s="95"/>
      <c r="N314" s="95"/>
      <c r="O314" s="95"/>
    </row>
    <row r="315" spans="2:15" ht="25.5">
      <c r="B315" s="131" t="s">
        <v>767</v>
      </c>
      <c r="C315" s="77" t="s">
        <v>648</v>
      </c>
      <c r="D315" s="78" t="s">
        <v>637</v>
      </c>
      <c r="E315" s="78" t="s">
        <v>1129</v>
      </c>
      <c r="F315" s="77" t="s">
        <v>973</v>
      </c>
      <c r="G315" s="79">
        <v>834900</v>
      </c>
      <c r="H315" s="79">
        <v>-834900</v>
      </c>
      <c r="I315" s="79">
        <f t="shared" si="18"/>
        <v>0</v>
      </c>
      <c r="J315" s="79">
        <v>0</v>
      </c>
      <c r="K315" s="79">
        <f>K316+K334+K329</f>
        <v>0</v>
      </c>
      <c r="L315" s="105">
        <f aca="true" t="shared" si="19" ref="L315:L390">J315+K315</f>
        <v>0</v>
      </c>
      <c r="M315" s="95"/>
      <c r="N315" s="95"/>
      <c r="O315" s="95"/>
    </row>
    <row r="316" spans="2:15" ht="102">
      <c r="B316" s="132" t="s">
        <v>855</v>
      </c>
      <c r="C316" s="77" t="s">
        <v>648</v>
      </c>
      <c r="D316" s="78" t="s">
        <v>637</v>
      </c>
      <c r="E316" s="78" t="s">
        <v>715</v>
      </c>
      <c r="F316" s="77"/>
      <c r="G316" s="79">
        <f>G317</f>
        <v>50684294</v>
      </c>
      <c r="H316" s="79">
        <f>H317</f>
        <v>-50684294</v>
      </c>
      <c r="I316" s="79">
        <f t="shared" si="18"/>
        <v>0</v>
      </c>
      <c r="J316" s="79">
        <f>J317</f>
        <v>0</v>
      </c>
      <c r="K316" s="79">
        <f>K317+K321+K323+K327+K319+K325</f>
        <v>0</v>
      </c>
      <c r="L316" s="105">
        <f t="shared" si="19"/>
        <v>0</v>
      </c>
      <c r="M316" s="95"/>
      <c r="N316" s="95"/>
      <c r="O316" s="95"/>
    </row>
    <row r="317" spans="2:15" ht="25.5">
      <c r="B317" s="131" t="s">
        <v>767</v>
      </c>
      <c r="C317" s="77" t="s">
        <v>648</v>
      </c>
      <c r="D317" s="78" t="s">
        <v>637</v>
      </c>
      <c r="E317" s="78" t="s">
        <v>715</v>
      </c>
      <c r="F317" s="77">
        <v>600</v>
      </c>
      <c r="G317" s="79">
        <f>53963490-3279196</f>
        <v>50684294</v>
      </c>
      <c r="H317" s="79">
        <v>-50684294</v>
      </c>
      <c r="I317" s="79">
        <f t="shared" si="18"/>
        <v>0</v>
      </c>
      <c r="J317" s="79">
        <v>0</v>
      </c>
      <c r="K317" s="79">
        <f>K318</f>
        <v>0</v>
      </c>
      <c r="L317" s="105">
        <f t="shared" si="19"/>
        <v>0</v>
      </c>
      <c r="M317" s="95"/>
      <c r="N317" s="95"/>
      <c r="O317" s="95"/>
    </row>
    <row r="318" spans="2:15" ht="25.5">
      <c r="B318" s="121" t="s">
        <v>1130</v>
      </c>
      <c r="C318" s="77" t="s">
        <v>648</v>
      </c>
      <c r="D318" s="78" t="s">
        <v>637</v>
      </c>
      <c r="E318" s="78" t="s">
        <v>1135</v>
      </c>
      <c r="F318" s="77"/>
      <c r="G318" s="79">
        <f>G319</f>
        <v>141100</v>
      </c>
      <c r="H318" s="79">
        <f>H319</f>
        <v>-141100</v>
      </c>
      <c r="I318" s="79">
        <f t="shared" si="18"/>
        <v>0</v>
      </c>
      <c r="J318" s="79">
        <f>J319</f>
        <v>0</v>
      </c>
      <c r="K318" s="71">
        <v>0</v>
      </c>
      <c r="L318" s="105">
        <f t="shared" si="19"/>
        <v>0</v>
      </c>
      <c r="M318" s="95"/>
      <c r="N318" s="95"/>
      <c r="O318" s="95"/>
    </row>
    <row r="319" spans="2:15" ht="25.5">
      <c r="B319" s="131" t="s">
        <v>767</v>
      </c>
      <c r="C319" s="77" t="s">
        <v>648</v>
      </c>
      <c r="D319" s="78" t="s">
        <v>637</v>
      </c>
      <c r="E319" s="78" t="s">
        <v>1135</v>
      </c>
      <c r="F319" s="77" t="s">
        <v>973</v>
      </c>
      <c r="G319" s="79">
        <v>141100</v>
      </c>
      <c r="H319" s="79">
        <v>-141100</v>
      </c>
      <c r="I319" s="79">
        <f t="shared" si="18"/>
        <v>0</v>
      </c>
      <c r="J319" s="79">
        <v>0</v>
      </c>
      <c r="K319" s="71"/>
      <c r="L319" s="105">
        <f t="shared" si="19"/>
        <v>0</v>
      </c>
      <c r="M319" s="95"/>
      <c r="N319" s="95"/>
      <c r="O319" s="95"/>
    </row>
    <row r="320" spans="2:15" ht="36" customHeight="1" hidden="1">
      <c r="B320" s="131" t="s">
        <v>866</v>
      </c>
      <c r="C320" s="77" t="s">
        <v>648</v>
      </c>
      <c r="D320" s="78" t="s">
        <v>637</v>
      </c>
      <c r="E320" s="78" t="s">
        <v>736</v>
      </c>
      <c r="F320" s="77"/>
      <c r="G320" s="79">
        <f>G321</f>
        <v>0</v>
      </c>
      <c r="H320" s="79">
        <f>H321</f>
        <v>0</v>
      </c>
      <c r="I320" s="79">
        <f t="shared" si="18"/>
        <v>0</v>
      </c>
      <c r="J320" s="79">
        <f>J321</f>
        <v>0</v>
      </c>
      <c r="K320" s="71">
        <v>0</v>
      </c>
      <c r="L320" s="105">
        <f t="shared" si="19"/>
        <v>0</v>
      </c>
      <c r="M320" s="95"/>
      <c r="N320" s="95"/>
      <c r="O320" s="95"/>
    </row>
    <row r="321" spans="2:15" ht="24" customHeight="1" hidden="1">
      <c r="B321" s="131" t="s">
        <v>1147</v>
      </c>
      <c r="C321" s="69" t="s">
        <v>648</v>
      </c>
      <c r="D321" s="70" t="s">
        <v>637</v>
      </c>
      <c r="E321" s="70" t="s">
        <v>1146</v>
      </c>
      <c r="F321" s="69"/>
      <c r="G321" s="71">
        <f>G322</f>
        <v>0</v>
      </c>
      <c r="H321" s="71">
        <f>H322</f>
        <v>0</v>
      </c>
      <c r="I321" s="71">
        <f t="shared" si="18"/>
        <v>0</v>
      </c>
      <c r="J321" s="71">
        <f>J322</f>
        <v>0</v>
      </c>
      <c r="K321" s="79">
        <f>K322</f>
        <v>0</v>
      </c>
      <c r="L321" s="105">
        <f t="shared" si="19"/>
        <v>0</v>
      </c>
      <c r="M321" s="95"/>
      <c r="N321" s="95"/>
      <c r="O321" s="95"/>
    </row>
    <row r="322" spans="2:15" ht="24" customHeight="1" hidden="1">
      <c r="B322" s="131" t="s">
        <v>772</v>
      </c>
      <c r="C322" s="69" t="s">
        <v>648</v>
      </c>
      <c r="D322" s="70" t="s">
        <v>637</v>
      </c>
      <c r="E322" s="70" t="s">
        <v>1146</v>
      </c>
      <c r="F322" s="69" t="s">
        <v>1007</v>
      </c>
      <c r="G322" s="71">
        <v>0</v>
      </c>
      <c r="H322" s="71">
        <v>0</v>
      </c>
      <c r="I322" s="71">
        <f t="shared" si="18"/>
        <v>0</v>
      </c>
      <c r="J322" s="71"/>
      <c r="K322" s="71">
        <v>0</v>
      </c>
      <c r="L322" s="105">
        <f t="shared" si="19"/>
        <v>0</v>
      </c>
      <c r="M322" s="95"/>
      <c r="N322" s="95"/>
      <c r="O322" s="95"/>
    </row>
    <row r="323" spans="2:15" s="64" customFormat="1" ht="36" customHeight="1" hidden="1">
      <c r="B323" s="131" t="s">
        <v>1209</v>
      </c>
      <c r="C323" s="77" t="s">
        <v>648</v>
      </c>
      <c r="D323" s="78" t="s">
        <v>637</v>
      </c>
      <c r="E323" s="78" t="s">
        <v>1210</v>
      </c>
      <c r="F323" s="77"/>
      <c r="G323" s="79">
        <f>G324</f>
        <v>0</v>
      </c>
      <c r="H323" s="79">
        <f>H324</f>
        <v>103816600</v>
      </c>
      <c r="I323" s="79">
        <f t="shared" si="18"/>
        <v>103816600</v>
      </c>
      <c r="J323" s="79">
        <f>J324</f>
        <v>103816600</v>
      </c>
      <c r="K323" s="71">
        <f>K324</f>
        <v>0</v>
      </c>
      <c r="L323" s="105">
        <f t="shared" si="19"/>
        <v>103816600</v>
      </c>
      <c r="M323" s="95"/>
      <c r="N323" s="95"/>
      <c r="O323" s="95"/>
    </row>
    <row r="324" spans="2:15" s="64" customFormat="1" ht="12.75" customHeight="1" hidden="1">
      <c r="B324" s="131" t="s">
        <v>1211</v>
      </c>
      <c r="C324" s="77" t="s">
        <v>648</v>
      </c>
      <c r="D324" s="78" t="s">
        <v>637</v>
      </c>
      <c r="E324" s="78" t="s">
        <v>1212</v>
      </c>
      <c r="F324" s="77"/>
      <c r="G324" s="79">
        <f>G325+G336+G338+G340+G342+G344</f>
        <v>0</v>
      </c>
      <c r="H324" s="79">
        <f>H325+H336+H338+H340+H342+H344</f>
        <v>103816600</v>
      </c>
      <c r="I324" s="79">
        <f t="shared" si="18"/>
        <v>103816600</v>
      </c>
      <c r="J324" s="79">
        <f>J325+J336+J338+J340+J342+J344</f>
        <v>103816600</v>
      </c>
      <c r="K324" s="71">
        <v>0</v>
      </c>
      <c r="L324" s="105">
        <f t="shared" si="19"/>
        <v>103816600</v>
      </c>
      <c r="M324" s="95"/>
      <c r="N324" s="95"/>
      <c r="O324" s="95"/>
    </row>
    <row r="325" spans="2:15" s="64" customFormat="1" ht="24" customHeight="1" hidden="1">
      <c r="B325" s="131" t="s">
        <v>1213</v>
      </c>
      <c r="C325" s="77" t="s">
        <v>648</v>
      </c>
      <c r="D325" s="78" t="s">
        <v>637</v>
      </c>
      <c r="E325" s="78" t="s">
        <v>1214</v>
      </c>
      <c r="F325" s="77"/>
      <c r="G325" s="79">
        <f>G326+G328+G330+G332+G334</f>
        <v>0</v>
      </c>
      <c r="H325" s="79">
        <f>H326+H328+H330+H332+H334</f>
        <v>103816600</v>
      </c>
      <c r="I325" s="79">
        <f t="shared" si="18"/>
        <v>103816600</v>
      </c>
      <c r="J325" s="79">
        <f>J326+J328+J330+J332+J334</f>
        <v>103816600</v>
      </c>
      <c r="K325" s="71">
        <f>K326</f>
        <v>0</v>
      </c>
      <c r="L325" s="105">
        <f t="shared" si="19"/>
        <v>103816600</v>
      </c>
      <c r="M325" s="95"/>
      <c r="N325" s="95"/>
      <c r="O325" s="95"/>
    </row>
    <row r="326" spans="2:15" s="64" customFormat="1" ht="24" customHeight="1" hidden="1">
      <c r="B326" s="131" t="s">
        <v>1215</v>
      </c>
      <c r="C326" s="77" t="s">
        <v>648</v>
      </c>
      <c r="D326" s="78" t="s">
        <v>637</v>
      </c>
      <c r="E326" s="78" t="s">
        <v>1216</v>
      </c>
      <c r="F326" s="77"/>
      <c r="G326" s="79">
        <f>G327</f>
        <v>0</v>
      </c>
      <c r="H326" s="79">
        <f>H327</f>
        <v>36418000</v>
      </c>
      <c r="I326" s="79">
        <f t="shared" si="18"/>
        <v>36418000</v>
      </c>
      <c r="J326" s="79">
        <f>J327</f>
        <v>36418000</v>
      </c>
      <c r="K326" s="71">
        <v>0</v>
      </c>
      <c r="L326" s="105">
        <f t="shared" si="19"/>
        <v>36418000</v>
      </c>
      <c r="M326" s="95"/>
      <c r="N326" s="95"/>
      <c r="O326" s="95"/>
    </row>
    <row r="327" spans="2:15" s="64" customFormat="1" ht="24" customHeight="1" hidden="1">
      <c r="B327" s="131" t="s">
        <v>767</v>
      </c>
      <c r="C327" s="77" t="s">
        <v>648</v>
      </c>
      <c r="D327" s="78" t="s">
        <v>637</v>
      </c>
      <c r="E327" s="78" t="s">
        <v>1216</v>
      </c>
      <c r="F327" s="77" t="s">
        <v>973</v>
      </c>
      <c r="G327" s="79">
        <v>0</v>
      </c>
      <c r="H327" s="79">
        <f>27970800+8447200</f>
        <v>36418000</v>
      </c>
      <c r="I327" s="79">
        <f t="shared" si="18"/>
        <v>36418000</v>
      </c>
      <c r="J327" s="79">
        <f>27970800+8447200</f>
        <v>36418000</v>
      </c>
      <c r="K327" s="71">
        <f>K328</f>
        <v>0</v>
      </c>
      <c r="L327" s="105">
        <f t="shared" si="19"/>
        <v>36418000</v>
      </c>
      <c r="M327" s="95"/>
      <c r="N327" s="95"/>
      <c r="O327" s="95"/>
    </row>
    <row r="328" spans="2:15" s="64" customFormat="1" ht="76.5">
      <c r="B328" s="132" t="s">
        <v>1217</v>
      </c>
      <c r="C328" s="77" t="s">
        <v>648</v>
      </c>
      <c r="D328" s="78" t="s">
        <v>637</v>
      </c>
      <c r="E328" s="78" t="s">
        <v>1218</v>
      </c>
      <c r="F328" s="77"/>
      <c r="G328" s="79">
        <f>G329</f>
        <v>0</v>
      </c>
      <c r="H328" s="79">
        <f>H329</f>
        <v>66353600</v>
      </c>
      <c r="I328" s="79">
        <f t="shared" si="18"/>
        <v>66353600</v>
      </c>
      <c r="J328" s="79">
        <f>J329</f>
        <v>66353600</v>
      </c>
      <c r="K328" s="71">
        <v>0</v>
      </c>
      <c r="L328" s="105">
        <f t="shared" si="19"/>
        <v>66353600</v>
      </c>
      <c r="M328" s="95"/>
      <c r="N328" s="95"/>
      <c r="O328" s="95"/>
    </row>
    <row r="329" spans="2:15" s="64" customFormat="1" ht="25.5">
      <c r="B329" s="131" t="s">
        <v>767</v>
      </c>
      <c r="C329" s="77" t="s">
        <v>648</v>
      </c>
      <c r="D329" s="78" t="s">
        <v>637</v>
      </c>
      <c r="E329" s="78" t="s">
        <v>1218</v>
      </c>
      <c r="F329" s="77" t="s">
        <v>973</v>
      </c>
      <c r="G329" s="79">
        <v>0</v>
      </c>
      <c r="H329" s="79">
        <f>50962826+15390774</f>
        <v>66353600</v>
      </c>
      <c r="I329" s="79">
        <f t="shared" si="18"/>
        <v>66353600</v>
      </c>
      <c r="J329" s="79">
        <f>50962826+15390774</f>
        <v>66353600</v>
      </c>
      <c r="K329" s="71">
        <f>K330+K332</f>
        <v>0</v>
      </c>
      <c r="L329" s="105">
        <f t="shared" si="19"/>
        <v>66353600</v>
      </c>
      <c r="M329" s="95"/>
      <c r="N329" s="95"/>
      <c r="O329" s="95"/>
    </row>
    <row r="330" spans="2:15" s="64" customFormat="1" ht="84">
      <c r="B330" s="90" t="s">
        <v>1128</v>
      </c>
      <c r="C330" s="77" t="s">
        <v>648</v>
      </c>
      <c r="D330" s="78" t="s">
        <v>637</v>
      </c>
      <c r="E330" s="78" t="s">
        <v>1219</v>
      </c>
      <c r="F330" s="77"/>
      <c r="G330" s="79">
        <f>G331</f>
        <v>0</v>
      </c>
      <c r="H330" s="79">
        <f>H331</f>
        <v>945000</v>
      </c>
      <c r="I330" s="79">
        <f t="shared" si="18"/>
        <v>945000</v>
      </c>
      <c r="J330" s="79">
        <f>J331</f>
        <v>945000</v>
      </c>
      <c r="K330" s="71">
        <f>K331</f>
        <v>0</v>
      </c>
      <c r="L330" s="105">
        <f t="shared" si="19"/>
        <v>945000</v>
      </c>
      <c r="M330" s="95"/>
      <c r="N330" s="95"/>
      <c r="O330" s="95"/>
    </row>
    <row r="331" spans="2:15" s="64" customFormat="1" ht="24">
      <c r="B331" s="88" t="s">
        <v>767</v>
      </c>
      <c r="C331" s="77" t="s">
        <v>648</v>
      </c>
      <c r="D331" s="78" t="s">
        <v>637</v>
      </c>
      <c r="E331" s="78" t="s">
        <v>1219</v>
      </c>
      <c r="F331" s="77" t="s">
        <v>973</v>
      </c>
      <c r="G331" s="79">
        <v>0</v>
      </c>
      <c r="H331" s="79">
        <v>945000</v>
      </c>
      <c r="I331" s="79">
        <f t="shared" si="18"/>
        <v>945000</v>
      </c>
      <c r="J331" s="79">
        <v>945000</v>
      </c>
      <c r="K331" s="71">
        <v>0</v>
      </c>
      <c r="L331" s="105">
        <f t="shared" si="19"/>
        <v>945000</v>
      </c>
      <c r="M331" s="95"/>
      <c r="N331" s="95"/>
      <c r="O331" s="95"/>
    </row>
    <row r="332" spans="2:15" s="64" customFormat="1" ht="39" customHeight="1">
      <c r="B332" s="88" t="s">
        <v>1130</v>
      </c>
      <c r="C332" s="77" t="s">
        <v>648</v>
      </c>
      <c r="D332" s="78" t="s">
        <v>637</v>
      </c>
      <c r="E332" s="78" t="s">
        <v>1220</v>
      </c>
      <c r="F332" s="77"/>
      <c r="G332" s="79">
        <f>G333</f>
        <v>0</v>
      </c>
      <c r="H332" s="79">
        <f>H333</f>
        <v>100000</v>
      </c>
      <c r="I332" s="79">
        <f t="shared" si="18"/>
        <v>100000</v>
      </c>
      <c r="J332" s="79">
        <f>J333</f>
        <v>100000</v>
      </c>
      <c r="K332" s="71">
        <f>K333</f>
        <v>0</v>
      </c>
      <c r="L332" s="105">
        <f t="shared" si="19"/>
        <v>100000</v>
      </c>
      <c r="M332" s="95"/>
      <c r="N332" s="95"/>
      <c r="O332" s="95"/>
    </row>
    <row r="333" spans="2:15" s="64" customFormat="1" ht="25.5" customHeight="1">
      <c r="B333" s="131" t="s">
        <v>767</v>
      </c>
      <c r="C333" s="77" t="s">
        <v>648</v>
      </c>
      <c r="D333" s="78" t="s">
        <v>637</v>
      </c>
      <c r="E333" s="78" t="s">
        <v>1220</v>
      </c>
      <c r="F333" s="77" t="s">
        <v>973</v>
      </c>
      <c r="G333" s="79">
        <v>0</v>
      </c>
      <c r="H333" s="79">
        <f>76805+23195</f>
        <v>100000</v>
      </c>
      <c r="I333" s="79">
        <f t="shared" si="18"/>
        <v>100000</v>
      </c>
      <c r="J333" s="79">
        <f>76805+23195</f>
        <v>100000</v>
      </c>
      <c r="K333" s="71">
        <v>0</v>
      </c>
      <c r="L333" s="105">
        <f t="shared" si="19"/>
        <v>100000</v>
      </c>
      <c r="M333" s="95"/>
      <c r="N333" s="95"/>
      <c r="O333" s="95"/>
    </row>
    <row r="334" spans="2:15" s="64" customFormat="1" ht="24" customHeight="1" hidden="1">
      <c r="B334" s="88" t="s">
        <v>1375</v>
      </c>
      <c r="C334" s="77" t="s">
        <v>648</v>
      </c>
      <c r="D334" s="78" t="s">
        <v>637</v>
      </c>
      <c r="E334" s="78" t="s">
        <v>1383</v>
      </c>
      <c r="F334" s="77"/>
      <c r="G334" s="79">
        <f>G335</f>
        <v>0</v>
      </c>
      <c r="H334" s="79">
        <f>H335</f>
        <v>0</v>
      </c>
      <c r="I334" s="79">
        <f t="shared" si="18"/>
        <v>0</v>
      </c>
      <c r="J334" s="79">
        <f>J335</f>
        <v>0</v>
      </c>
      <c r="K334" s="71">
        <f>K335</f>
        <v>0</v>
      </c>
      <c r="L334" s="105">
        <f t="shared" si="19"/>
        <v>0</v>
      </c>
      <c r="M334" s="95"/>
      <c r="N334" s="95"/>
      <c r="O334" s="95"/>
    </row>
    <row r="335" spans="2:15" s="64" customFormat="1" ht="24" hidden="1">
      <c r="B335" s="88" t="s">
        <v>767</v>
      </c>
      <c r="C335" s="77" t="s">
        <v>648</v>
      </c>
      <c r="D335" s="78" t="s">
        <v>637</v>
      </c>
      <c r="E335" s="78" t="s">
        <v>1383</v>
      </c>
      <c r="F335" s="77" t="s">
        <v>973</v>
      </c>
      <c r="G335" s="79">
        <v>0</v>
      </c>
      <c r="H335" s="79">
        <v>0</v>
      </c>
      <c r="I335" s="79">
        <f t="shared" si="18"/>
        <v>0</v>
      </c>
      <c r="J335" s="79">
        <v>0</v>
      </c>
      <c r="K335" s="71">
        <f>K336</f>
        <v>0</v>
      </c>
      <c r="L335" s="105">
        <f t="shared" si="19"/>
        <v>0</v>
      </c>
      <c r="M335" s="95"/>
      <c r="N335" s="95"/>
      <c r="O335" s="95"/>
    </row>
    <row r="336" spans="2:15" s="64" customFormat="1" ht="60" hidden="1">
      <c r="B336" s="90" t="s">
        <v>1422</v>
      </c>
      <c r="C336" s="77" t="s">
        <v>648</v>
      </c>
      <c r="D336" s="78" t="s">
        <v>637</v>
      </c>
      <c r="E336" s="78" t="s">
        <v>1385</v>
      </c>
      <c r="F336" s="77"/>
      <c r="G336" s="79">
        <f>G337</f>
        <v>0</v>
      </c>
      <c r="H336" s="79">
        <f>H337</f>
        <v>0</v>
      </c>
      <c r="I336" s="79">
        <f t="shared" si="18"/>
        <v>0</v>
      </c>
      <c r="J336" s="79">
        <f>J337</f>
        <v>0</v>
      </c>
      <c r="K336" s="71">
        <v>0</v>
      </c>
      <c r="L336" s="105">
        <f t="shared" si="19"/>
        <v>0</v>
      </c>
      <c r="M336" s="95"/>
      <c r="N336" s="95"/>
      <c r="O336" s="95"/>
    </row>
    <row r="337" spans="2:15" ht="24" hidden="1">
      <c r="B337" s="88" t="s">
        <v>772</v>
      </c>
      <c r="C337" s="77" t="s">
        <v>648</v>
      </c>
      <c r="D337" s="78" t="s">
        <v>637</v>
      </c>
      <c r="E337" s="78" t="s">
        <v>1385</v>
      </c>
      <c r="F337" s="77" t="s">
        <v>1007</v>
      </c>
      <c r="G337" s="79"/>
      <c r="H337" s="79"/>
      <c r="I337" s="79">
        <f t="shared" si="18"/>
        <v>0</v>
      </c>
      <c r="J337" s="79"/>
      <c r="K337" s="79">
        <f>K341+K360+K381+K392+K338+K376+K363+K386+K389</f>
        <v>0</v>
      </c>
      <c r="L337" s="71">
        <f t="shared" si="19"/>
        <v>0</v>
      </c>
      <c r="M337" s="95"/>
      <c r="N337" s="95"/>
      <c r="O337" s="95"/>
    </row>
    <row r="338" spans="2:15" ht="24" customHeight="1" hidden="1">
      <c r="B338" s="90" t="s">
        <v>1384</v>
      </c>
      <c r="C338" s="77" t="s">
        <v>648</v>
      </c>
      <c r="D338" s="78" t="s">
        <v>637</v>
      </c>
      <c r="E338" s="78" t="s">
        <v>1387</v>
      </c>
      <c r="F338" s="77"/>
      <c r="G338" s="79">
        <f>G339</f>
        <v>0</v>
      </c>
      <c r="H338" s="79">
        <f>H339</f>
        <v>0</v>
      </c>
      <c r="I338" s="79">
        <f t="shared" si="18"/>
        <v>0</v>
      </c>
      <c r="J338" s="79">
        <f>J339</f>
        <v>0</v>
      </c>
      <c r="K338" s="79">
        <f>K339</f>
        <v>0</v>
      </c>
      <c r="L338" s="71">
        <f t="shared" si="19"/>
        <v>0</v>
      </c>
      <c r="M338" s="95"/>
      <c r="N338" s="95"/>
      <c r="O338" s="95"/>
    </row>
    <row r="339" spans="2:15" ht="24" hidden="1">
      <c r="B339" s="88" t="s">
        <v>772</v>
      </c>
      <c r="C339" s="77" t="s">
        <v>648</v>
      </c>
      <c r="D339" s="78" t="s">
        <v>637</v>
      </c>
      <c r="E339" s="78" t="s">
        <v>1387</v>
      </c>
      <c r="F339" s="77" t="s">
        <v>1007</v>
      </c>
      <c r="G339" s="79"/>
      <c r="H339" s="79"/>
      <c r="I339" s="79">
        <f t="shared" si="18"/>
        <v>0</v>
      </c>
      <c r="J339" s="79"/>
      <c r="K339" s="79">
        <f>K340</f>
        <v>0</v>
      </c>
      <c r="L339" s="71">
        <f t="shared" si="19"/>
        <v>0</v>
      </c>
      <c r="M339" s="95"/>
      <c r="N339" s="95"/>
      <c r="O339" s="95"/>
    </row>
    <row r="340" spans="2:15" ht="24" hidden="1">
      <c r="B340" s="88" t="s">
        <v>1388</v>
      </c>
      <c r="C340" s="77" t="s">
        <v>648</v>
      </c>
      <c r="D340" s="78" t="s">
        <v>637</v>
      </c>
      <c r="E340" s="78" t="s">
        <v>1389</v>
      </c>
      <c r="F340" s="77"/>
      <c r="G340" s="79">
        <f>G341</f>
        <v>0</v>
      </c>
      <c r="H340" s="79">
        <f>H341</f>
        <v>0</v>
      </c>
      <c r="I340" s="79">
        <f t="shared" si="18"/>
        <v>0</v>
      </c>
      <c r="J340" s="79">
        <f>J341</f>
        <v>0</v>
      </c>
      <c r="K340" s="71">
        <v>0</v>
      </c>
      <c r="L340" s="71">
        <f t="shared" si="19"/>
        <v>0</v>
      </c>
      <c r="M340" s="95"/>
      <c r="N340" s="95"/>
      <c r="O340" s="95"/>
    </row>
    <row r="341" spans="2:15" ht="24" hidden="1">
      <c r="B341" s="88" t="s">
        <v>767</v>
      </c>
      <c r="C341" s="77" t="s">
        <v>648</v>
      </c>
      <c r="D341" s="78" t="s">
        <v>637</v>
      </c>
      <c r="E341" s="78" t="s">
        <v>1389</v>
      </c>
      <c r="F341" s="77" t="s">
        <v>973</v>
      </c>
      <c r="G341" s="79"/>
      <c r="H341" s="79"/>
      <c r="I341" s="79">
        <f t="shared" si="18"/>
        <v>0</v>
      </c>
      <c r="J341" s="79"/>
      <c r="K341" s="79">
        <f>K342+K348+K350+K352+K354+K356+K358+K346+K344</f>
        <v>0</v>
      </c>
      <c r="L341" s="71">
        <f t="shared" si="19"/>
        <v>0</v>
      </c>
      <c r="M341" s="95"/>
      <c r="N341" s="95"/>
      <c r="O341" s="95"/>
    </row>
    <row r="342" spans="2:15" ht="24" customHeight="1" hidden="1">
      <c r="B342" s="90" t="s">
        <v>1351</v>
      </c>
      <c r="C342" s="77" t="s">
        <v>648</v>
      </c>
      <c r="D342" s="77" t="s">
        <v>637</v>
      </c>
      <c r="E342" s="77" t="s">
        <v>1352</v>
      </c>
      <c r="F342" s="77"/>
      <c r="G342" s="79">
        <f>G343</f>
        <v>0</v>
      </c>
      <c r="H342" s="79">
        <f>H343</f>
        <v>0</v>
      </c>
      <c r="I342" s="79">
        <f>G342+H342</f>
        <v>0</v>
      </c>
      <c r="J342" s="79">
        <f>J343</f>
        <v>0</v>
      </c>
      <c r="K342" s="79">
        <f>K343</f>
        <v>0</v>
      </c>
      <c r="L342" s="71">
        <f t="shared" si="19"/>
        <v>0</v>
      </c>
      <c r="M342" s="95"/>
      <c r="N342" s="95"/>
      <c r="O342" s="95"/>
    </row>
    <row r="343" spans="2:15" ht="24" customHeight="1" hidden="1">
      <c r="B343" s="88" t="s">
        <v>772</v>
      </c>
      <c r="C343" s="77" t="s">
        <v>648</v>
      </c>
      <c r="D343" s="77" t="s">
        <v>637</v>
      </c>
      <c r="E343" s="77" t="s">
        <v>1352</v>
      </c>
      <c r="F343" s="77" t="s">
        <v>1007</v>
      </c>
      <c r="G343" s="79"/>
      <c r="H343" s="79">
        <v>0</v>
      </c>
      <c r="I343" s="79">
        <f>G343+H343</f>
        <v>0</v>
      </c>
      <c r="J343" s="79">
        <v>0</v>
      </c>
      <c r="K343" s="71">
        <v>0</v>
      </c>
      <c r="L343" s="105">
        <f t="shared" si="19"/>
        <v>0</v>
      </c>
      <c r="M343" s="95"/>
      <c r="N343" s="95"/>
      <c r="O343" s="95"/>
    </row>
    <row r="344" spans="2:15" ht="48" customHeight="1" hidden="1">
      <c r="B344" s="88"/>
      <c r="C344" s="77" t="s">
        <v>648</v>
      </c>
      <c r="D344" s="77" t="s">
        <v>637</v>
      </c>
      <c r="E344" s="77"/>
      <c r="F344" s="77"/>
      <c r="G344" s="79"/>
      <c r="H344" s="79"/>
      <c r="I344" s="79"/>
      <c r="J344" s="79">
        <v>0</v>
      </c>
      <c r="K344" s="79">
        <f>K345</f>
        <v>0</v>
      </c>
      <c r="L344" s="105">
        <f t="shared" si="19"/>
        <v>0</v>
      </c>
      <c r="M344" s="95"/>
      <c r="N344" s="95"/>
      <c r="O344" s="95"/>
    </row>
    <row r="345" spans="2:15" ht="24" customHeight="1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1">
        <v>0</v>
      </c>
      <c r="L345" s="105">
        <f t="shared" si="19"/>
        <v>0</v>
      </c>
      <c r="M345" s="95"/>
      <c r="N345" s="95"/>
      <c r="O345" s="95"/>
    </row>
    <row r="346" spans="2:15" s="64" customFormat="1" ht="20.25" customHeight="1">
      <c r="B346" s="130" t="s">
        <v>478</v>
      </c>
      <c r="C346" s="117" t="s">
        <v>648</v>
      </c>
      <c r="D346" s="128" t="s">
        <v>638</v>
      </c>
      <c r="E346" s="128"/>
      <c r="F346" s="117"/>
      <c r="G346" s="129">
        <f>G347+G363+G358</f>
        <v>413472484</v>
      </c>
      <c r="H346" s="129">
        <f>H347+H363+H358</f>
        <v>30948053</v>
      </c>
      <c r="I346" s="129">
        <f t="shared" si="18"/>
        <v>444420537</v>
      </c>
      <c r="J346" s="129">
        <f>J347+J363+J358</f>
        <v>227830098</v>
      </c>
      <c r="K346" s="71">
        <f>K347</f>
        <v>0</v>
      </c>
      <c r="L346" s="71">
        <f t="shared" si="19"/>
        <v>227830098</v>
      </c>
      <c r="M346" s="95"/>
      <c r="N346" s="95"/>
      <c r="O346" s="95"/>
    </row>
    <row r="347" spans="2:15" s="64" customFormat="1" ht="23.25" customHeight="1">
      <c r="B347" s="131" t="s">
        <v>1069</v>
      </c>
      <c r="C347" s="77" t="s">
        <v>648</v>
      </c>
      <c r="D347" s="78" t="s">
        <v>638</v>
      </c>
      <c r="E347" s="78" t="s">
        <v>759</v>
      </c>
      <c r="F347" s="77"/>
      <c r="G347" s="79">
        <f>G348+G352+G354+G356+G350</f>
        <v>205136907</v>
      </c>
      <c r="H347" s="79">
        <f>H348+H352+H354+H356+H350</f>
        <v>-205136907</v>
      </c>
      <c r="I347" s="79">
        <f t="shared" si="18"/>
        <v>0</v>
      </c>
      <c r="J347" s="79">
        <f>J348+J352+J354+J356+J350</f>
        <v>0</v>
      </c>
      <c r="K347" s="71">
        <v>0</v>
      </c>
      <c r="L347" s="71">
        <f t="shared" si="19"/>
        <v>0</v>
      </c>
      <c r="M347" s="95"/>
      <c r="N347" s="95"/>
      <c r="O347" s="95"/>
    </row>
    <row r="348" spans="2:15" ht="27.75" customHeight="1">
      <c r="B348" s="131" t="s">
        <v>865</v>
      </c>
      <c r="C348" s="77" t="s">
        <v>648</v>
      </c>
      <c r="D348" s="78" t="s">
        <v>638</v>
      </c>
      <c r="E348" s="78" t="s">
        <v>802</v>
      </c>
      <c r="F348" s="77"/>
      <c r="G348" s="79">
        <f>G349</f>
        <v>53290804</v>
      </c>
      <c r="H348" s="79">
        <f>H349</f>
        <v>-53290804</v>
      </c>
      <c r="I348" s="79">
        <f t="shared" si="18"/>
        <v>0</v>
      </c>
      <c r="J348" s="79">
        <f>J349</f>
        <v>0</v>
      </c>
      <c r="K348" s="79">
        <f>K349</f>
        <v>0</v>
      </c>
      <c r="L348" s="105">
        <f t="shared" si="19"/>
        <v>0</v>
      </c>
      <c r="M348" s="95"/>
      <c r="N348" s="95"/>
      <c r="O348" s="95"/>
    </row>
    <row r="349" spans="2:15" ht="24" customHeight="1">
      <c r="B349" s="131" t="s">
        <v>767</v>
      </c>
      <c r="C349" s="77" t="s">
        <v>648</v>
      </c>
      <c r="D349" s="78" t="s">
        <v>638</v>
      </c>
      <c r="E349" s="78" t="s">
        <v>802</v>
      </c>
      <c r="F349" s="77">
        <v>600</v>
      </c>
      <c r="G349" s="79">
        <v>53290804</v>
      </c>
      <c r="H349" s="79">
        <v>-53290804</v>
      </c>
      <c r="I349" s="79">
        <f t="shared" si="18"/>
        <v>0</v>
      </c>
      <c r="J349" s="79"/>
      <c r="K349" s="71">
        <v>0</v>
      </c>
      <c r="L349" s="105">
        <f t="shared" si="19"/>
        <v>0</v>
      </c>
      <c r="M349" s="95"/>
      <c r="N349" s="95"/>
      <c r="O349" s="95"/>
    </row>
    <row r="350" spans="2:15" ht="33" customHeight="1">
      <c r="B350" s="131" t="s">
        <v>1140</v>
      </c>
      <c r="C350" s="77" t="s">
        <v>648</v>
      </c>
      <c r="D350" s="78" t="s">
        <v>638</v>
      </c>
      <c r="E350" s="78" t="s">
        <v>1139</v>
      </c>
      <c r="F350" s="77"/>
      <c r="G350" s="79">
        <f>G351</f>
        <v>474020</v>
      </c>
      <c r="H350" s="79">
        <f>H351</f>
        <v>-474020</v>
      </c>
      <c r="I350" s="79">
        <f t="shared" si="18"/>
        <v>0</v>
      </c>
      <c r="J350" s="79">
        <f>J351</f>
        <v>0</v>
      </c>
      <c r="K350" s="79">
        <f>K351</f>
        <v>0</v>
      </c>
      <c r="L350" s="105">
        <f t="shared" si="19"/>
        <v>0</v>
      </c>
      <c r="M350" s="95"/>
      <c r="N350" s="95"/>
      <c r="O350" s="95"/>
    </row>
    <row r="351" spans="2:15" ht="25.5">
      <c r="B351" s="131" t="s">
        <v>767</v>
      </c>
      <c r="C351" s="77" t="s">
        <v>648</v>
      </c>
      <c r="D351" s="78" t="s">
        <v>638</v>
      </c>
      <c r="E351" s="78" t="s">
        <v>1139</v>
      </c>
      <c r="F351" s="77" t="s">
        <v>973</v>
      </c>
      <c r="G351" s="79">
        <v>474020</v>
      </c>
      <c r="H351" s="79">
        <v>-474020</v>
      </c>
      <c r="I351" s="79">
        <f t="shared" si="18"/>
        <v>0</v>
      </c>
      <c r="J351" s="79">
        <v>0</v>
      </c>
      <c r="K351" s="71">
        <f>1209400-1209400</f>
        <v>0</v>
      </c>
      <c r="L351" s="105">
        <f t="shared" si="19"/>
        <v>0</v>
      </c>
      <c r="M351" s="95"/>
      <c r="N351" s="95"/>
      <c r="O351" s="95"/>
    </row>
    <row r="352" spans="2:15" ht="102">
      <c r="B352" s="132" t="s">
        <v>855</v>
      </c>
      <c r="C352" s="77" t="s">
        <v>648</v>
      </c>
      <c r="D352" s="78" t="s">
        <v>638</v>
      </c>
      <c r="E352" s="78" t="s">
        <v>803</v>
      </c>
      <c r="F352" s="77"/>
      <c r="G352" s="79">
        <f>G353</f>
        <v>147544703</v>
      </c>
      <c r="H352" s="79">
        <f>H353</f>
        <v>-147544703</v>
      </c>
      <c r="I352" s="79">
        <f t="shared" si="18"/>
        <v>0</v>
      </c>
      <c r="J352" s="79">
        <f>J353</f>
        <v>0</v>
      </c>
      <c r="K352" s="79">
        <f>K353</f>
        <v>0</v>
      </c>
      <c r="L352" s="105">
        <f t="shared" si="19"/>
        <v>0</v>
      </c>
      <c r="M352" s="95"/>
      <c r="N352" s="95"/>
      <c r="O352" s="95"/>
    </row>
    <row r="353" spans="2:15" ht="25.5">
      <c r="B353" s="131" t="s">
        <v>767</v>
      </c>
      <c r="C353" s="77" t="s">
        <v>648</v>
      </c>
      <c r="D353" s="78" t="s">
        <v>638</v>
      </c>
      <c r="E353" s="78" t="s">
        <v>803</v>
      </c>
      <c r="F353" s="77">
        <v>600</v>
      </c>
      <c r="G353" s="79">
        <f>131475200+16069503</f>
        <v>147544703</v>
      </c>
      <c r="H353" s="79">
        <v>-147544703</v>
      </c>
      <c r="I353" s="79">
        <f t="shared" si="18"/>
        <v>0</v>
      </c>
      <c r="J353" s="79">
        <v>0</v>
      </c>
      <c r="K353" s="71">
        <v>0</v>
      </c>
      <c r="L353" s="105">
        <f t="shared" si="19"/>
        <v>0</v>
      </c>
      <c r="M353" s="95"/>
      <c r="N353" s="95"/>
      <c r="O353" s="95"/>
    </row>
    <row r="354" spans="2:15" s="64" customFormat="1" ht="38.25">
      <c r="B354" s="131" t="s">
        <v>860</v>
      </c>
      <c r="C354" s="77" t="s">
        <v>648</v>
      </c>
      <c r="D354" s="78" t="s">
        <v>638</v>
      </c>
      <c r="E354" s="78" t="s">
        <v>805</v>
      </c>
      <c r="F354" s="77"/>
      <c r="G354" s="79">
        <f>G355</f>
        <v>1229400</v>
      </c>
      <c r="H354" s="79">
        <f>H355</f>
        <v>-1229400</v>
      </c>
      <c r="I354" s="79">
        <f t="shared" si="18"/>
        <v>0</v>
      </c>
      <c r="J354" s="79">
        <f>J355</f>
        <v>0</v>
      </c>
      <c r="K354" s="71">
        <f>K355</f>
        <v>0</v>
      </c>
      <c r="L354" s="105">
        <f t="shared" si="19"/>
        <v>0</v>
      </c>
      <c r="M354" s="95"/>
      <c r="N354" s="95"/>
      <c r="O354" s="95"/>
    </row>
    <row r="355" spans="2:15" s="64" customFormat="1" ht="25.5">
      <c r="B355" s="131" t="s">
        <v>767</v>
      </c>
      <c r="C355" s="77" t="s">
        <v>648</v>
      </c>
      <c r="D355" s="78" t="s">
        <v>638</v>
      </c>
      <c r="E355" s="78" t="s">
        <v>805</v>
      </c>
      <c r="F355" s="77">
        <v>600</v>
      </c>
      <c r="G355" s="79">
        <v>1229400</v>
      </c>
      <c r="H355" s="79">
        <v>-1229400</v>
      </c>
      <c r="I355" s="79">
        <f t="shared" si="18"/>
        <v>0</v>
      </c>
      <c r="J355" s="79">
        <v>0</v>
      </c>
      <c r="K355" s="71">
        <v>0</v>
      </c>
      <c r="L355" s="105">
        <f t="shared" si="19"/>
        <v>0</v>
      </c>
      <c r="M355" s="95"/>
      <c r="N355" s="95"/>
      <c r="O355" s="95"/>
    </row>
    <row r="356" spans="2:15" ht="29.25" customHeight="1">
      <c r="B356" s="131" t="s">
        <v>1131</v>
      </c>
      <c r="C356" s="77" t="s">
        <v>648</v>
      </c>
      <c r="D356" s="78" t="s">
        <v>638</v>
      </c>
      <c r="E356" s="78" t="s">
        <v>720</v>
      </c>
      <c r="F356" s="77"/>
      <c r="G356" s="79">
        <f>G357</f>
        <v>2597980</v>
      </c>
      <c r="H356" s="79">
        <f>H357</f>
        <v>-2597980</v>
      </c>
      <c r="I356" s="79">
        <f t="shared" si="18"/>
        <v>0</v>
      </c>
      <c r="J356" s="79">
        <f>J357</f>
        <v>0</v>
      </c>
      <c r="K356" s="79">
        <f>K357</f>
        <v>0</v>
      </c>
      <c r="L356" s="105">
        <f t="shared" si="19"/>
        <v>0</v>
      </c>
      <c r="M356" s="95"/>
      <c r="N356" s="95"/>
      <c r="O356" s="95"/>
    </row>
    <row r="357" spans="2:15" ht="25.5">
      <c r="B357" s="131" t="s">
        <v>767</v>
      </c>
      <c r="C357" s="77" t="s">
        <v>648</v>
      </c>
      <c r="D357" s="78" t="s">
        <v>638</v>
      </c>
      <c r="E357" s="78" t="s">
        <v>720</v>
      </c>
      <c r="F357" s="77">
        <v>600</v>
      </c>
      <c r="G357" s="79">
        <v>2597980</v>
      </c>
      <c r="H357" s="79">
        <v>-2597980</v>
      </c>
      <c r="I357" s="79">
        <f t="shared" si="18"/>
        <v>0</v>
      </c>
      <c r="J357" s="79">
        <v>0</v>
      </c>
      <c r="K357" s="71">
        <v>0</v>
      </c>
      <c r="L357" s="105">
        <f t="shared" si="19"/>
        <v>0</v>
      </c>
      <c r="M357" s="95"/>
      <c r="N357" s="95"/>
      <c r="O357" s="95"/>
    </row>
    <row r="358" spans="2:15" ht="38.25">
      <c r="B358" s="131" t="s">
        <v>866</v>
      </c>
      <c r="C358" s="77" t="s">
        <v>648</v>
      </c>
      <c r="D358" s="78" t="s">
        <v>638</v>
      </c>
      <c r="E358" s="78" t="s">
        <v>736</v>
      </c>
      <c r="F358" s="77"/>
      <c r="G358" s="79">
        <f>G359+G361</f>
        <v>208335577</v>
      </c>
      <c r="H358" s="79">
        <f>H359+H361</f>
        <v>-208335577</v>
      </c>
      <c r="I358" s="79">
        <f>G358+H358</f>
        <v>0</v>
      </c>
      <c r="J358" s="79">
        <f>J359+J361</f>
        <v>0</v>
      </c>
      <c r="K358" s="79">
        <f>K359</f>
        <v>0</v>
      </c>
      <c r="L358" s="105">
        <f t="shared" si="19"/>
        <v>0</v>
      </c>
      <c r="M358" s="95"/>
      <c r="N358" s="95"/>
      <c r="O358" s="95"/>
    </row>
    <row r="359" spans="2:15" ht="25.5">
      <c r="B359" s="131" t="s">
        <v>1143</v>
      </c>
      <c r="C359" s="77" t="s">
        <v>648</v>
      </c>
      <c r="D359" s="78" t="s">
        <v>638</v>
      </c>
      <c r="E359" s="78" t="s">
        <v>1141</v>
      </c>
      <c r="F359" s="77"/>
      <c r="G359" s="79">
        <f>G360</f>
        <v>166070959.91</v>
      </c>
      <c r="H359" s="79">
        <f>H360</f>
        <v>-166070959.91</v>
      </c>
      <c r="I359" s="79">
        <f>G359+H359</f>
        <v>0</v>
      </c>
      <c r="J359" s="79">
        <f>J360</f>
        <v>0</v>
      </c>
      <c r="K359" s="71">
        <v>0</v>
      </c>
      <c r="L359" s="105">
        <f t="shared" si="19"/>
        <v>0</v>
      </c>
      <c r="M359" s="95"/>
      <c r="N359" s="95"/>
      <c r="O359" s="95"/>
    </row>
    <row r="360" spans="2:15" s="64" customFormat="1" ht="25.5">
      <c r="B360" s="131" t="s">
        <v>772</v>
      </c>
      <c r="C360" s="77" t="s">
        <v>648</v>
      </c>
      <c r="D360" s="78" t="s">
        <v>638</v>
      </c>
      <c r="E360" s="78" t="s">
        <v>1141</v>
      </c>
      <c r="F360" s="77" t="s">
        <v>1007</v>
      </c>
      <c r="G360" s="79">
        <f>165336315.79+734644.12</f>
        <v>166070959.91</v>
      </c>
      <c r="H360" s="79">
        <v>-166070959.91</v>
      </c>
      <c r="I360" s="79">
        <f>G360+H360</f>
        <v>0</v>
      </c>
      <c r="J360" s="79">
        <v>0</v>
      </c>
      <c r="K360" s="71">
        <f>K361</f>
        <v>0</v>
      </c>
      <c r="L360" s="105">
        <f t="shared" si="19"/>
        <v>0</v>
      </c>
      <c r="M360" s="95"/>
      <c r="N360" s="95"/>
      <c r="O360" s="95"/>
    </row>
    <row r="361" spans="2:15" s="64" customFormat="1" ht="25.5">
      <c r="B361" s="131" t="s">
        <v>1143</v>
      </c>
      <c r="C361" s="77" t="s">
        <v>648</v>
      </c>
      <c r="D361" s="78" t="s">
        <v>638</v>
      </c>
      <c r="E361" s="78" t="s">
        <v>1142</v>
      </c>
      <c r="F361" s="77"/>
      <c r="G361" s="79">
        <f>G362</f>
        <v>42264617.09</v>
      </c>
      <c r="H361" s="79">
        <f>H362</f>
        <v>-42264617.09</v>
      </c>
      <c r="I361" s="79">
        <f>G361+H361</f>
        <v>0</v>
      </c>
      <c r="J361" s="79">
        <f>J362</f>
        <v>0</v>
      </c>
      <c r="K361" s="71">
        <f>K362</f>
        <v>0</v>
      </c>
      <c r="L361" s="105">
        <f t="shared" si="19"/>
        <v>0</v>
      </c>
      <c r="M361" s="95"/>
      <c r="N361" s="95"/>
      <c r="O361" s="95"/>
    </row>
    <row r="362" spans="2:15" s="64" customFormat="1" ht="25.5">
      <c r="B362" s="131" t="s">
        <v>772</v>
      </c>
      <c r="C362" s="77" t="s">
        <v>648</v>
      </c>
      <c r="D362" s="78" t="s">
        <v>638</v>
      </c>
      <c r="E362" s="78" t="s">
        <v>1142</v>
      </c>
      <c r="F362" s="77" t="s">
        <v>1007</v>
      </c>
      <c r="G362" s="79">
        <f>42082584.21+182032.88</f>
        <v>42264617.09</v>
      </c>
      <c r="H362" s="79">
        <v>-42264617.09</v>
      </c>
      <c r="I362" s="79">
        <f>G362+H362</f>
        <v>0</v>
      </c>
      <c r="J362" s="79">
        <v>0</v>
      </c>
      <c r="K362" s="71">
        <v>0</v>
      </c>
      <c r="L362" s="105">
        <f t="shared" si="19"/>
        <v>0</v>
      </c>
      <c r="M362" s="95"/>
      <c r="N362" s="95"/>
      <c r="O362" s="95"/>
    </row>
    <row r="363" spans="2:15" s="64" customFormat="1" ht="25.5">
      <c r="B363" s="131" t="s">
        <v>1209</v>
      </c>
      <c r="C363" s="77" t="s">
        <v>648</v>
      </c>
      <c r="D363" s="78" t="s">
        <v>638</v>
      </c>
      <c r="E363" s="78" t="s">
        <v>1210</v>
      </c>
      <c r="F363" s="77"/>
      <c r="G363" s="79">
        <f>G364</f>
        <v>0</v>
      </c>
      <c r="H363" s="79">
        <f>H364</f>
        <v>444420537</v>
      </c>
      <c r="I363" s="79">
        <f t="shared" si="18"/>
        <v>444420537</v>
      </c>
      <c r="J363" s="79">
        <f>J364</f>
        <v>227830098</v>
      </c>
      <c r="K363" s="71">
        <f>K366+K364+K368+K370+K372+K374</f>
        <v>0</v>
      </c>
      <c r="L363" s="71">
        <f t="shared" si="19"/>
        <v>227830098</v>
      </c>
      <c r="M363" s="95"/>
      <c r="N363" s="95"/>
      <c r="O363" s="95"/>
    </row>
    <row r="364" spans="2:15" s="64" customFormat="1" ht="12.75">
      <c r="B364" s="131" t="s">
        <v>1221</v>
      </c>
      <c r="C364" s="77" t="s">
        <v>648</v>
      </c>
      <c r="D364" s="78" t="s">
        <v>638</v>
      </c>
      <c r="E364" s="78" t="s">
        <v>1222</v>
      </c>
      <c r="F364" s="77"/>
      <c r="G364" s="79">
        <f>G365+G378+G382+G388+G380+G384+G386</f>
        <v>0</v>
      </c>
      <c r="H364" s="79">
        <f>H365+H378+H382+H388+H380+H384+H386</f>
        <v>444420537</v>
      </c>
      <c r="I364" s="79">
        <f t="shared" si="18"/>
        <v>444420537</v>
      </c>
      <c r="J364" s="79">
        <f>J365+J378+J382+J388+J380+J384+J386</f>
        <v>227830098</v>
      </c>
      <c r="K364" s="71">
        <f>K365</f>
        <v>0</v>
      </c>
      <c r="L364" s="105">
        <f t="shared" si="19"/>
        <v>227830098</v>
      </c>
      <c r="M364" s="95"/>
      <c r="N364" s="95"/>
      <c r="O364" s="95"/>
    </row>
    <row r="365" spans="2:15" s="64" customFormat="1" ht="25.5">
      <c r="B365" s="131" t="s">
        <v>1223</v>
      </c>
      <c r="C365" s="77" t="s">
        <v>648</v>
      </c>
      <c r="D365" s="78" t="s">
        <v>638</v>
      </c>
      <c r="E365" s="78" t="s">
        <v>1224</v>
      </c>
      <c r="F365" s="77"/>
      <c r="G365" s="79">
        <f>G366+G368+G370+G372+G374+G376</f>
        <v>0</v>
      </c>
      <c r="H365" s="79">
        <f>H366+H368+H370+H372+H374+H376</f>
        <v>236266992.88</v>
      </c>
      <c r="I365" s="79">
        <f t="shared" si="18"/>
        <v>236266992.88</v>
      </c>
      <c r="J365" s="79">
        <f>J366+J368+J370+J372+J374+J376</f>
        <v>227830098</v>
      </c>
      <c r="K365" s="71">
        <v>0</v>
      </c>
      <c r="L365" s="105">
        <f t="shared" si="19"/>
        <v>227830098</v>
      </c>
      <c r="M365" s="95"/>
      <c r="N365" s="95"/>
      <c r="O365" s="95"/>
    </row>
    <row r="366" spans="2:15" s="64" customFormat="1" ht="25.5">
      <c r="B366" s="131" t="s">
        <v>1225</v>
      </c>
      <c r="C366" s="77" t="s">
        <v>648</v>
      </c>
      <c r="D366" s="78" t="s">
        <v>638</v>
      </c>
      <c r="E366" s="78" t="s">
        <v>1226</v>
      </c>
      <c r="F366" s="77"/>
      <c r="G366" s="79">
        <f>G367</f>
        <v>0</v>
      </c>
      <c r="H366" s="79">
        <f>H367</f>
        <v>59232892.88</v>
      </c>
      <c r="I366" s="79">
        <f t="shared" si="18"/>
        <v>59232892.88</v>
      </c>
      <c r="J366" s="79">
        <f>J367</f>
        <v>50795998</v>
      </c>
      <c r="K366" s="71">
        <f>K367</f>
        <v>0</v>
      </c>
      <c r="L366" s="105">
        <f t="shared" si="19"/>
        <v>50795998</v>
      </c>
      <c r="M366" s="95"/>
      <c r="N366" s="95"/>
      <c r="O366" s="95"/>
    </row>
    <row r="367" spans="2:15" s="64" customFormat="1" ht="25.5">
      <c r="B367" s="131" t="s">
        <v>767</v>
      </c>
      <c r="C367" s="77" t="s">
        <v>648</v>
      </c>
      <c r="D367" s="78" t="s">
        <v>638</v>
      </c>
      <c r="E367" s="78" t="s">
        <v>1226</v>
      </c>
      <c r="F367" s="77" t="s">
        <v>973</v>
      </c>
      <c r="G367" s="79"/>
      <c r="H367" s="79">
        <f>43703892.88+15529000</f>
        <v>59232892.88</v>
      </c>
      <c r="I367" s="79">
        <f t="shared" si="18"/>
        <v>59232892.88</v>
      </c>
      <c r="J367" s="79">
        <f>35266998+15529000</f>
        <v>50795998</v>
      </c>
      <c r="K367" s="71">
        <v>0</v>
      </c>
      <c r="L367" s="105">
        <f t="shared" si="19"/>
        <v>50795998</v>
      </c>
      <c r="M367" s="95"/>
      <c r="N367" s="95"/>
      <c r="O367" s="95"/>
    </row>
    <row r="368" spans="2:15" s="64" customFormat="1" ht="25.5" hidden="1">
      <c r="B368" s="131" t="s">
        <v>1140</v>
      </c>
      <c r="C368" s="77" t="s">
        <v>648</v>
      </c>
      <c r="D368" s="78" t="s">
        <v>638</v>
      </c>
      <c r="E368" s="78" t="s">
        <v>1227</v>
      </c>
      <c r="F368" s="77"/>
      <c r="G368" s="79">
        <f>G369</f>
        <v>0</v>
      </c>
      <c r="H368" s="79">
        <f>H369</f>
        <v>0</v>
      </c>
      <c r="I368" s="79">
        <f t="shared" si="18"/>
        <v>0</v>
      </c>
      <c r="J368" s="79">
        <f>J369</f>
        <v>0</v>
      </c>
      <c r="K368" s="71">
        <f>K369</f>
        <v>0</v>
      </c>
      <c r="L368" s="71">
        <f aca="true" t="shared" si="20" ref="L368:L375">J368+K368</f>
        <v>0</v>
      </c>
      <c r="M368" s="95"/>
      <c r="N368" s="95"/>
      <c r="O368" s="95"/>
    </row>
    <row r="369" spans="2:15" s="64" customFormat="1" ht="25.5" hidden="1">
      <c r="B369" s="131" t="s">
        <v>767</v>
      </c>
      <c r="C369" s="77" t="s">
        <v>648</v>
      </c>
      <c r="D369" s="78" t="s">
        <v>638</v>
      </c>
      <c r="E369" s="78" t="s">
        <v>1227</v>
      </c>
      <c r="F369" s="77" t="s">
        <v>973</v>
      </c>
      <c r="G369" s="79"/>
      <c r="H369" s="79">
        <v>0</v>
      </c>
      <c r="I369" s="79">
        <f t="shared" si="18"/>
        <v>0</v>
      </c>
      <c r="J369" s="79"/>
      <c r="K369" s="71">
        <v>0</v>
      </c>
      <c r="L369" s="71">
        <f t="shared" si="20"/>
        <v>0</v>
      </c>
      <c r="M369" s="95"/>
      <c r="N369" s="95"/>
      <c r="O369" s="95"/>
    </row>
    <row r="370" spans="2:15" s="64" customFormat="1" ht="76.5">
      <c r="B370" s="132" t="s">
        <v>1217</v>
      </c>
      <c r="C370" s="77" t="s">
        <v>648</v>
      </c>
      <c r="D370" s="78" t="s">
        <v>638</v>
      </c>
      <c r="E370" s="78" t="s">
        <v>1228</v>
      </c>
      <c r="F370" s="77"/>
      <c r="G370" s="79">
        <f>G371</f>
        <v>0</v>
      </c>
      <c r="H370" s="79">
        <f>H371</f>
        <v>173521200</v>
      </c>
      <c r="I370" s="79">
        <f t="shared" si="18"/>
        <v>173521200</v>
      </c>
      <c r="J370" s="79">
        <f>J371</f>
        <v>173521200</v>
      </c>
      <c r="K370" s="71">
        <f>K371</f>
        <v>0</v>
      </c>
      <c r="L370" s="71">
        <f t="shared" si="20"/>
        <v>173521200</v>
      </c>
      <c r="M370" s="95"/>
      <c r="N370" s="95"/>
      <c r="O370" s="95"/>
    </row>
    <row r="371" spans="2:15" s="64" customFormat="1" ht="25.5">
      <c r="B371" s="131" t="s">
        <v>767</v>
      </c>
      <c r="C371" s="77" t="s">
        <v>648</v>
      </c>
      <c r="D371" s="78" t="s">
        <v>638</v>
      </c>
      <c r="E371" s="78" t="s">
        <v>1228</v>
      </c>
      <c r="F371" s="77" t="s">
        <v>973</v>
      </c>
      <c r="G371" s="79"/>
      <c r="H371" s="79">
        <f>133235100+40286100</f>
        <v>173521200</v>
      </c>
      <c r="I371" s="79">
        <f t="shared" si="18"/>
        <v>173521200</v>
      </c>
      <c r="J371" s="79">
        <f>133235100+40286100</f>
        <v>173521200</v>
      </c>
      <c r="K371" s="71">
        <v>0</v>
      </c>
      <c r="L371" s="71">
        <f t="shared" si="20"/>
        <v>173521200</v>
      </c>
      <c r="M371" s="95"/>
      <c r="N371" s="95"/>
      <c r="O371" s="95"/>
    </row>
    <row r="372" spans="2:15" s="64" customFormat="1" ht="25.5">
      <c r="B372" s="131" t="s">
        <v>1131</v>
      </c>
      <c r="C372" s="77" t="s">
        <v>648</v>
      </c>
      <c r="D372" s="78" t="s">
        <v>638</v>
      </c>
      <c r="E372" s="78" t="s">
        <v>1229</v>
      </c>
      <c r="F372" s="77"/>
      <c r="G372" s="79">
        <f>G373</f>
        <v>0</v>
      </c>
      <c r="H372" s="79">
        <f>H373</f>
        <v>2223600</v>
      </c>
      <c r="I372" s="79">
        <f t="shared" si="18"/>
        <v>2223600</v>
      </c>
      <c r="J372" s="79">
        <f>J373</f>
        <v>2223600</v>
      </c>
      <c r="K372" s="79">
        <f>K373</f>
        <v>0</v>
      </c>
      <c r="L372" s="105">
        <f t="shared" si="20"/>
        <v>2223600</v>
      </c>
      <c r="M372" s="95"/>
      <c r="N372" s="95"/>
      <c r="O372" s="95"/>
    </row>
    <row r="373" spans="2:15" s="64" customFormat="1" ht="25.5">
      <c r="B373" s="131" t="s">
        <v>767</v>
      </c>
      <c r="C373" s="77" t="s">
        <v>648</v>
      </c>
      <c r="D373" s="78" t="s">
        <v>638</v>
      </c>
      <c r="E373" s="78" t="s">
        <v>1229</v>
      </c>
      <c r="F373" s="77" t="s">
        <v>973</v>
      </c>
      <c r="G373" s="79"/>
      <c r="H373" s="79">
        <v>2223600</v>
      </c>
      <c r="I373" s="79">
        <f aca="true" t="shared" si="21" ref="I373:I464">G373+H373</f>
        <v>2223600</v>
      </c>
      <c r="J373" s="79">
        <v>2223600</v>
      </c>
      <c r="K373" s="79">
        <v>0</v>
      </c>
      <c r="L373" s="105">
        <f t="shared" si="20"/>
        <v>2223600</v>
      </c>
      <c r="M373" s="95"/>
      <c r="N373" s="95"/>
      <c r="O373" s="95"/>
    </row>
    <row r="374" spans="2:15" s="64" customFormat="1" ht="25.5">
      <c r="B374" s="131" t="s">
        <v>1130</v>
      </c>
      <c r="C374" s="77" t="s">
        <v>648</v>
      </c>
      <c r="D374" s="78" t="s">
        <v>638</v>
      </c>
      <c r="E374" s="78" t="s">
        <v>1230</v>
      </c>
      <c r="F374" s="77"/>
      <c r="G374" s="79">
        <f>G375</f>
        <v>0</v>
      </c>
      <c r="H374" s="79">
        <f>H375</f>
        <v>1289300</v>
      </c>
      <c r="I374" s="79">
        <f t="shared" si="21"/>
        <v>1289300</v>
      </c>
      <c r="J374" s="79">
        <f>J375</f>
        <v>1289300</v>
      </c>
      <c r="K374" s="79">
        <f>K375</f>
        <v>0</v>
      </c>
      <c r="L374" s="105">
        <f t="shared" si="20"/>
        <v>1289300</v>
      </c>
      <c r="M374" s="95"/>
      <c r="N374" s="95"/>
      <c r="O374" s="95"/>
    </row>
    <row r="375" spans="2:15" s="64" customFormat="1" ht="25.5">
      <c r="B375" s="131" t="s">
        <v>767</v>
      </c>
      <c r="C375" s="77" t="s">
        <v>648</v>
      </c>
      <c r="D375" s="78" t="s">
        <v>638</v>
      </c>
      <c r="E375" s="78" t="s">
        <v>1230</v>
      </c>
      <c r="F375" s="77" t="s">
        <v>973</v>
      </c>
      <c r="G375" s="79"/>
      <c r="H375" s="79">
        <f>990246+299054</f>
        <v>1289300</v>
      </c>
      <c r="I375" s="79">
        <f t="shared" si="21"/>
        <v>1289300</v>
      </c>
      <c r="J375" s="79">
        <f>990246+299054</f>
        <v>1289300</v>
      </c>
      <c r="K375" s="79">
        <v>0</v>
      </c>
      <c r="L375" s="105">
        <f t="shared" si="20"/>
        <v>1289300</v>
      </c>
      <c r="M375" s="95"/>
      <c r="N375" s="95"/>
      <c r="O375" s="95"/>
    </row>
    <row r="376" spans="2:15" ht="24" hidden="1">
      <c r="B376" s="88" t="s">
        <v>1375</v>
      </c>
      <c r="C376" s="77" t="s">
        <v>648</v>
      </c>
      <c r="D376" s="78" t="s">
        <v>638</v>
      </c>
      <c r="E376" s="78" t="s">
        <v>1390</v>
      </c>
      <c r="F376" s="77"/>
      <c r="G376" s="79">
        <f>G377</f>
        <v>0</v>
      </c>
      <c r="H376" s="79">
        <f>H377</f>
        <v>0</v>
      </c>
      <c r="I376" s="79">
        <f t="shared" si="21"/>
        <v>0</v>
      </c>
      <c r="J376" s="79">
        <f>J377</f>
        <v>0</v>
      </c>
      <c r="K376" s="71">
        <f>K377+K379</f>
        <v>0</v>
      </c>
      <c r="L376" s="71">
        <f t="shared" si="19"/>
        <v>0</v>
      </c>
      <c r="M376" s="95"/>
      <c r="N376" s="95"/>
      <c r="O376" s="95"/>
    </row>
    <row r="377" spans="2:15" ht="24" hidden="1">
      <c r="B377" s="88" t="s">
        <v>767</v>
      </c>
      <c r="C377" s="77" t="s">
        <v>648</v>
      </c>
      <c r="D377" s="78" t="s">
        <v>638</v>
      </c>
      <c r="E377" s="78" t="s">
        <v>1390</v>
      </c>
      <c r="F377" s="77" t="s">
        <v>973</v>
      </c>
      <c r="G377" s="79">
        <v>0</v>
      </c>
      <c r="H377" s="79">
        <v>0</v>
      </c>
      <c r="I377" s="79">
        <f t="shared" si="21"/>
        <v>0</v>
      </c>
      <c r="J377" s="79">
        <v>0</v>
      </c>
      <c r="K377" s="79">
        <f>K378</f>
        <v>0</v>
      </c>
      <c r="L377" s="71">
        <f t="shared" si="19"/>
        <v>0</v>
      </c>
      <c r="M377" s="95"/>
      <c r="N377" s="95"/>
      <c r="O377" s="95"/>
    </row>
    <row r="378" spans="2:15" ht="36">
      <c r="B378" s="88" t="s">
        <v>1355</v>
      </c>
      <c r="C378" s="77" t="s">
        <v>648</v>
      </c>
      <c r="D378" s="78" t="s">
        <v>638</v>
      </c>
      <c r="E378" s="78" t="s">
        <v>1356</v>
      </c>
      <c r="F378" s="77"/>
      <c r="G378" s="79">
        <f>G379</f>
        <v>0</v>
      </c>
      <c r="H378" s="79">
        <f>H379</f>
        <v>42082584.21</v>
      </c>
      <c r="I378" s="79">
        <f>G378+H378</f>
        <v>42082584.21</v>
      </c>
      <c r="J378" s="79">
        <f>J379</f>
        <v>0</v>
      </c>
      <c r="K378" s="71">
        <v>0</v>
      </c>
      <c r="L378" s="71">
        <f t="shared" si="19"/>
        <v>0</v>
      </c>
      <c r="M378" s="95"/>
      <c r="N378" s="95"/>
      <c r="O378" s="95"/>
    </row>
    <row r="379" spans="2:15" ht="24">
      <c r="B379" s="88" t="s">
        <v>772</v>
      </c>
      <c r="C379" s="77" t="s">
        <v>648</v>
      </c>
      <c r="D379" s="78" t="s">
        <v>638</v>
      </c>
      <c r="E379" s="78" t="s">
        <v>1356</v>
      </c>
      <c r="F379" s="77" t="s">
        <v>1007</v>
      </c>
      <c r="G379" s="79">
        <f>G380</f>
        <v>0</v>
      </c>
      <c r="H379" s="79">
        <v>42082584.21</v>
      </c>
      <c r="I379" s="79">
        <f>G379+H379</f>
        <v>42082584.21</v>
      </c>
      <c r="J379" s="79">
        <f>J380</f>
        <v>0</v>
      </c>
      <c r="K379" s="79">
        <f>K380</f>
        <v>0</v>
      </c>
      <c r="L379" s="71">
        <f t="shared" si="19"/>
        <v>0</v>
      </c>
      <c r="M379" s="95"/>
      <c r="N379" s="95"/>
      <c r="O379" s="95"/>
    </row>
    <row r="380" spans="2:15" ht="24">
      <c r="B380" s="88" t="s">
        <v>1357</v>
      </c>
      <c r="C380" s="77" t="s">
        <v>648</v>
      </c>
      <c r="D380" s="78" t="s">
        <v>638</v>
      </c>
      <c r="E380" s="78" t="s">
        <v>1358</v>
      </c>
      <c r="F380" s="77"/>
      <c r="G380" s="79">
        <f>G381</f>
        <v>0</v>
      </c>
      <c r="H380" s="79">
        <f>H381</f>
        <v>166070959.91</v>
      </c>
      <c r="I380" s="79">
        <f>G380+H380</f>
        <v>166070959.91</v>
      </c>
      <c r="J380" s="79">
        <f>J381</f>
        <v>0</v>
      </c>
      <c r="K380" s="71">
        <v>0</v>
      </c>
      <c r="L380" s="71">
        <f t="shared" si="19"/>
        <v>0</v>
      </c>
      <c r="M380" s="95"/>
      <c r="N380" s="95"/>
      <c r="O380" s="95"/>
    </row>
    <row r="381" spans="2:15" s="64" customFormat="1" ht="25.5">
      <c r="B381" s="131" t="s">
        <v>772</v>
      </c>
      <c r="C381" s="77" t="s">
        <v>648</v>
      </c>
      <c r="D381" s="78" t="s">
        <v>638</v>
      </c>
      <c r="E381" s="78" t="s">
        <v>1358</v>
      </c>
      <c r="F381" s="77" t="s">
        <v>1007</v>
      </c>
      <c r="G381" s="79"/>
      <c r="H381" s="79">
        <f>165336315.79+734644.12</f>
        <v>166070959.91</v>
      </c>
      <c r="I381" s="79">
        <f>G381+H381</f>
        <v>166070959.91</v>
      </c>
      <c r="J381" s="79">
        <v>0</v>
      </c>
      <c r="K381" s="71">
        <f>K382+K384</f>
        <v>0</v>
      </c>
      <c r="L381" s="71">
        <f t="shared" si="19"/>
        <v>0</v>
      </c>
      <c r="M381" s="95"/>
      <c r="N381" s="95"/>
      <c r="O381" s="95"/>
    </row>
    <row r="382" spans="2:15" s="64" customFormat="1" ht="36" hidden="1">
      <c r="B382" s="88" t="s">
        <v>1231</v>
      </c>
      <c r="C382" s="77" t="s">
        <v>648</v>
      </c>
      <c r="D382" s="78" t="s">
        <v>638</v>
      </c>
      <c r="E382" s="78" t="s">
        <v>1232</v>
      </c>
      <c r="F382" s="77"/>
      <c r="G382" s="79">
        <f>G383</f>
        <v>0</v>
      </c>
      <c r="H382" s="79">
        <f>H383</f>
        <v>0</v>
      </c>
      <c r="I382" s="79">
        <f t="shared" si="21"/>
        <v>0</v>
      </c>
      <c r="J382" s="79">
        <f>J383</f>
        <v>0</v>
      </c>
      <c r="K382" s="71">
        <f>K383</f>
        <v>0</v>
      </c>
      <c r="L382" s="71">
        <f t="shared" si="19"/>
        <v>0</v>
      </c>
      <c r="M382" s="95"/>
      <c r="N382" s="95"/>
      <c r="O382" s="95"/>
    </row>
    <row r="383" spans="2:15" s="64" customFormat="1" ht="24" hidden="1">
      <c r="B383" s="88" t="s">
        <v>767</v>
      </c>
      <c r="C383" s="77" t="s">
        <v>648</v>
      </c>
      <c r="D383" s="78" t="s">
        <v>638</v>
      </c>
      <c r="E383" s="78" t="s">
        <v>1232</v>
      </c>
      <c r="F383" s="77" t="s">
        <v>973</v>
      </c>
      <c r="G383" s="79">
        <v>0</v>
      </c>
      <c r="H383" s="79">
        <v>0</v>
      </c>
      <c r="I383" s="79">
        <f t="shared" si="21"/>
        <v>0</v>
      </c>
      <c r="J383" s="79">
        <v>0</v>
      </c>
      <c r="K383" s="71">
        <v>0</v>
      </c>
      <c r="L383" s="71">
        <f t="shared" si="19"/>
        <v>0</v>
      </c>
      <c r="M383" s="95"/>
      <c r="N383" s="95"/>
      <c r="O383" s="95"/>
    </row>
    <row r="384" spans="2:15" s="64" customFormat="1" ht="12.75" hidden="1">
      <c r="B384" s="88"/>
      <c r="C384" s="77" t="s">
        <v>648</v>
      </c>
      <c r="D384" s="78" t="s">
        <v>638</v>
      </c>
      <c r="E384" s="78" t="s">
        <v>1392</v>
      </c>
      <c r="F384" s="77"/>
      <c r="G384" s="79">
        <f>G385</f>
        <v>0</v>
      </c>
      <c r="H384" s="79">
        <f>H385</f>
        <v>0</v>
      </c>
      <c r="I384" s="79">
        <f t="shared" si="21"/>
        <v>0</v>
      </c>
      <c r="J384" s="79">
        <f>J385</f>
        <v>0</v>
      </c>
      <c r="K384" s="71">
        <f>K385</f>
        <v>0</v>
      </c>
      <c r="L384" s="71">
        <f t="shared" si="19"/>
        <v>0</v>
      </c>
      <c r="M384" s="95"/>
      <c r="N384" s="95"/>
      <c r="O384" s="95"/>
    </row>
    <row r="385" spans="2:15" s="64" customFormat="1" ht="24" hidden="1">
      <c r="B385" s="88" t="s">
        <v>772</v>
      </c>
      <c r="C385" s="77" t="s">
        <v>648</v>
      </c>
      <c r="D385" s="78" t="s">
        <v>638</v>
      </c>
      <c r="E385" s="78" t="s">
        <v>1392</v>
      </c>
      <c r="F385" s="77" t="s">
        <v>1007</v>
      </c>
      <c r="G385" s="79"/>
      <c r="H385" s="79">
        <v>0</v>
      </c>
      <c r="I385" s="79">
        <f t="shared" si="21"/>
        <v>0</v>
      </c>
      <c r="J385" s="79">
        <v>0</v>
      </c>
      <c r="K385" s="71">
        <v>0</v>
      </c>
      <c r="L385" s="71">
        <f t="shared" si="19"/>
        <v>0</v>
      </c>
      <c r="M385" s="95"/>
      <c r="N385" s="95"/>
      <c r="O385" s="95"/>
    </row>
    <row r="386" spans="2:15" s="64" customFormat="1" ht="36" hidden="1">
      <c r="B386" s="88" t="s">
        <v>1393</v>
      </c>
      <c r="C386" s="77" t="s">
        <v>648</v>
      </c>
      <c r="D386" s="78" t="s">
        <v>638</v>
      </c>
      <c r="E386" s="78" t="s">
        <v>1394</v>
      </c>
      <c r="F386" s="77"/>
      <c r="G386" s="79">
        <f>G387</f>
        <v>0</v>
      </c>
      <c r="H386" s="79">
        <f>H387</f>
        <v>0</v>
      </c>
      <c r="I386" s="79">
        <f t="shared" si="21"/>
        <v>0</v>
      </c>
      <c r="J386" s="79">
        <f>J387</f>
        <v>0</v>
      </c>
      <c r="K386" s="71">
        <f>K387</f>
        <v>0</v>
      </c>
      <c r="L386" s="71">
        <f t="shared" si="19"/>
        <v>0</v>
      </c>
      <c r="M386" s="95"/>
      <c r="N386" s="95"/>
      <c r="O386" s="95"/>
    </row>
    <row r="387" spans="2:15" s="64" customFormat="1" ht="24" hidden="1">
      <c r="B387" s="88" t="s">
        <v>767</v>
      </c>
      <c r="C387" s="77" t="s">
        <v>648</v>
      </c>
      <c r="D387" s="78" t="s">
        <v>638</v>
      </c>
      <c r="E387" s="78" t="s">
        <v>1394</v>
      </c>
      <c r="F387" s="77" t="s">
        <v>973</v>
      </c>
      <c r="G387" s="79"/>
      <c r="H387" s="79">
        <v>0</v>
      </c>
      <c r="I387" s="79">
        <f t="shared" si="21"/>
        <v>0</v>
      </c>
      <c r="J387" s="79">
        <v>0</v>
      </c>
      <c r="K387" s="71">
        <f>K388</f>
        <v>0</v>
      </c>
      <c r="L387" s="71">
        <f t="shared" si="19"/>
        <v>0</v>
      </c>
      <c r="M387" s="95"/>
      <c r="N387" s="95"/>
      <c r="O387" s="95"/>
    </row>
    <row r="388" spans="2:15" s="64" customFormat="1" ht="24" hidden="1">
      <c r="B388" s="88" t="s">
        <v>1395</v>
      </c>
      <c r="C388" s="77" t="s">
        <v>648</v>
      </c>
      <c r="D388" s="78" t="s">
        <v>638</v>
      </c>
      <c r="E388" s="78" t="s">
        <v>1396</v>
      </c>
      <c r="F388" s="77"/>
      <c r="G388" s="79">
        <f>G389</f>
        <v>0</v>
      </c>
      <c r="H388" s="79">
        <f>H389</f>
        <v>0</v>
      </c>
      <c r="I388" s="79">
        <f t="shared" si="21"/>
        <v>0</v>
      </c>
      <c r="J388" s="79">
        <f>J389</f>
        <v>0</v>
      </c>
      <c r="K388" s="71">
        <v>0</v>
      </c>
      <c r="L388" s="71">
        <f t="shared" si="19"/>
        <v>0</v>
      </c>
      <c r="M388" s="95"/>
      <c r="N388" s="95"/>
      <c r="O388" s="95"/>
    </row>
    <row r="389" spans="2:15" s="64" customFormat="1" ht="24" hidden="1">
      <c r="B389" s="88" t="s">
        <v>767</v>
      </c>
      <c r="C389" s="77" t="s">
        <v>648</v>
      </c>
      <c r="D389" s="78" t="s">
        <v>638</v>
      </c>
      <c r="E389" s="78" t="s">
        <v>1396</v>
      </c>
      <c r="F389" s="77" t="s">
        <v>973</v>
      </c>
      <c r="G389" s="79"/>
      <c r="H389" s="79"/>
      <c r="I389" s="79">
        <f t="shared" si="21"/>
        <v>0</v>
      </c>
      <c r="J389" s="79"/>
      <c r="K389" s="71">
        <f>K390</f>
        <v>0</v>
      </c>
      <c r="L389" s="71">
        <f t="shared" si="19"/>
        <v>0</v>
      </c>
      <c r="M389" s="95"/>
      <c r="N389" s="95"/>
      <c r="O389" s="95"/>
    </row>
    <row r="390" spans="2:15" s="64" customFormat="1" ht="12.75">
      <c r="B390" s="130" t="s">
        <v>1087</v>
      </c>
      <c r="C390" s="117" t="s">
        <v>648</v>
      </c>
      <c r="D390" s="117" t="s">
        <v>639</v>
      </c>
      <c r="E390" s="117"/>
      <c r="F390" s="117"/>
      <c r="G390" s="129">
        <f>G391+G404+G425+G394</f>
        <v>15211260</v>
      </c>
      <c r="H390" s="129">
        <f>H391+H404+H425+H394</f>
        <v>8530487</v>
      </c>
      <c r="I390" s="129">
        <f t="shared" si="21"/>
        <v>23741747</v>
      </c>
      <c r="J390" s="129">
        <f>J391+J404+J425+J394</f>
        <v>23741747</v>
      </c>
      <c r="K390" s="71">
        <f>K391</f>
        <v>0</v>
      </c>
      <c r="L390" s="71">
        <f t="shared" si="19"/>
        <v>23741747</v>
      </c>
      <c r="M390" s="95"/>
      <c r="N390" s="95"/>
      <c r="O390" s="95"/>
    </row>
    <row r="391" spans="2:15" s="64" customFormat="1" ht="25.5">
      <c r="B391" s="131" t="s">
        <v>850</v>
      </c>
      <c r="C391" s="77" t="s">
        <v>648</v>
      </c>
      <c r="D391" s="77" t="s">
        <v>639</v>
      </c>
      <c r="E391" s="78" t="s">
        <v>758</v>
      </c>
      <c r="F391" s="77"/>
      <c r="G391" s="79">
        <f>G392</f>
        <v>4648590</v>
      </c>
      <c r="H391" s="79">
        <f>H392</f>
        <v>-4648590</v>
      </c>
      <c r="I391" s="79">
        <f t="shared" si="21"/>
        <v>0</v>
      </c>
      <c r="J391" s="79">
        <f>J392</f>
        <v>0</v>
      </c>
      <c r="K391" s="71">
        <v>0</v>
      </c>
      <c r="L391" s="71">
        <f aca="true" t="shared" si="22" ref="L391:L474">J391+K391</f>
        <v>0</v>
      </c>
      <c r="M391" s="95"/>
      <c r="N391" s="95"/>
      <c r="O391" s="95"/>
    </row>
    <row r="392" spans="2:15" s="64" customFormat="1" ht="25.5">
      <c r="B392" s="131" t="s">
        <v>851</v>
      </c>
      <c r="C392" s="77" t="s">
        <v>648</v>
      </c>
      <c r="D392" s="77" t="s">
        <v>639</v>
      </c>
      <c r="E392" s="78" t="s">
        <v>717</v>
      </c>
      <c r="F392" s="77"/>
      <c r="G392" s="79">
        <f>G393</f>
        <v>4648590</v>
      </c>
      <c r="H392" s="79">
        <f>H393</f>
        <v>-4648590</v>
      </c>
      <c r="I392" s="79">
        <f t="shared" si="21"/>
        <v>0</v>
      </c>
      <c r="J392" s="79">
        <f>J393</f>
        <v>0</v>
      </c>
      <c r="K392" s="71">
        <f>K393</f>
        <v>0</v>
      </c>
      <c r="L392" s="71">
        <f t="shared" si="22"/>
        <v>0</v>
      </c>
      <c r="M392" s="95"/>
      <c r="N392" s="95"/>
      <c r="O392" s="95"/>
    </row>
    <row r="393" spans="2:15" s="64" customFormat="1" ht="25.5">
      <c r="B393" s="131" t="s">
        <v>767</v>
      </c>
      <c r="C393" s="77" t="s">
        <v>648</v>
      </c>
      <c r="D393" s="77" t="s">
        <v>639</v>
      </c>
      <c r="E393" s="78" t="s">
        <v>717</v>
      </c>
      <c r="F393" s="77">
        <v>600</v>
      </c>
      <c r="G393" s="79">
        <v>4648590</v>
      </c>
      <c r="H393" s="79">
        <v>-4648590</v>
      </c>
      <c r="I393" s="79">
        <f t="shared" si="21"/>
        <v>0</v>
      </c>
      <c r="J393" s="79">
        <v>0</v>
      </c>
      <c r="K393" s="71">
        <f>K394</f>
        <v>0</v>
      </c>
      <c r="L393" s="71">
        <f t="shared" si="22"/>
        <v>0</v>
      </c>
      <c r="M393" s="95"/>
      <c r="N393" s="95"/>
      <c r="O393" s="95"/>
    </row>
    <row r="394" spans="2:15" s="64" customFormat="1" ht="25.5">
      <c r="B394" s="131" t="s">
        <v>870</v>
      </c>
      <c r="C394" s="77" t="s">
        <v>648</v>
      </c>
      <c r="D394" s="77" t="s">
        <v>639</v>
      </c>
      <c r="E394" s="78" t="s">
        <v>746</v>
      </c>
      <c r="F394" s="77"/>
      <c r="G394" s="79">
        <f>G395+G400+G402</f>
        <v>10562670</v>
      </c>
      <c r="H394" s="79">
        <f>H395+H400+H402</f>
        <v>-10562670</v>
      </c>
      <c r="I394" s="79">
        <f t="shared" si="21"/>
        <v>0</v>
      </c>
      <c r="J394" s="79">
        <f>J395</f>
        <v>0</v>
      </c>
      <c r="K394" s="71">
        <v>0</v>
      </c>
      <c r="L394" s="71">
        <f t="shared" si="22"/>
        <v>0</v>
      </c>
      <c r="M394" s="95"/>
      <c r="N394" s="95"/>
      <c r="O394" s="95"/>
    </row>
    <row r="395" spans="2:15" s="64" customFormat="1" ht="25.5">
      <c r="B395" s="131" t="s">
        <v>871</v>
      </c>
      <c r="C395" s="77" t="s">
        <v>648</v>
      </c>
      <c r="D395" s="77" t="s">
        <v>639</v>
      </c>
      <c r="E395" s="78" t="s">
        <v>751</v>
      </c>
      <c r="F395" s="77"/>
      <c r="G395" s="79">
        <f>G396+G398</f>
        <v>5208630</v>
      </c>
      <c r="H395" s="79">
        <f>H396+H398</f>
        <v>-5208630</v>
      </c>
      <c r="I395" s="79">
        <f t="shared" si="21"/>
        <v>0</v>
      </c>
      <c r="J395" s="79">
        <f>J396+J398</f>
        <v>0</v>
      </c>
      <c r="K395" s="79">
        <f>K396+K399</f>
        <v>0</v>
      </c>
      <c r="L395" s="71">
        <f t="shared" si="22"/>
        <v>0</v>
      </c>
      <c r="M395" s="95"/>
      <c r="N395" s="95"/>
      <c r="O395" s="95"/>
    </row>
    <row r="396" spans="2:15" s="64" customFormat="1" ht="25.5">
      <c r="B396" s="131" t="s">
        <v>872</v>
      </c>
      <c r="C396" s="77" t="s">
        <v>648</v>
      </c>
      <c r="D396" s="77" t="s">
        <v>639</v>
      </c>
      <c r="E396" s="78" t="s">
        <v>705</v>
      </c>
      <c r="F396" s="77"/>
      <c r="G396" s="79">
        <f>G397</f>
        <v>3909476</v>
      </c>
      <c r="H396" s="79">
        <f>H397</f>
        <v>-3909476</v>
      </c>
      <c r="I396" s="79">
        <f t="shared" si="21"/>
        <v>0</v>
      </c>
      <c r="J396" s="79">
        <f>J397</f>
        <v>0</v>
      </c>
      <c r="K396" s="79">
        <f>K397</f>
        <v>0</v>
      </c>
      <c r="L396" s="105">
        <f t="shared" si="22"/>
        <v>0</v>
      </c>
      <c r="M396" s="95"/>
      <c r="N396" s="95"/>
      <c r="O396" s="95"/>
    </row>
    <row r="397" spans="2:15" s="64" customFormat="1" ht="25.5">
      <c r="B397" s="131" t="s">
        <v>767</v>
      </c>
      <c r="C397" s="77" t="s">
        <v>648</v>
      </c>
      <c r="D397" s="77" t="s">
        <v>639</v>
      </c>
      <c r="E397" s="78" t="s">
        <v>705</v>
      </c>
      <c r="F397" s="77">
        <v>600</v>
      </c>
      <c r="G397" s="79">
        <v>3909476</v>
      </c>
      <c r="H397" s="79">
        <v>-3909476</v>
      </c>
      <c r="I397" s="79">
        <f t="shared" si="21"/>
        <v>0</v>
      </c>
      <c r="J397" s="79">
        <v>0</v>
      </c>
      <c r="K397" s="79">
        <f>K398</f>
        <v>0</v>
      </c>
      <c r="L397" s="105">
        <f t="shared" si="22"/>
        <v>0</v>
      </c>
      <c r="M397" s="95"/>
      <c r="N397" s="95"/>
      <c r="O397" s="95"/>
    </row>
    <row r="398" spans="2:15" s="64" customFormat="1" ht="25.5">
      <c r="B398" s="131" t="s">
        <v>873</v>
      </c>
      <c r="C398" s="77" t="s">
        <v>648</v>
      </c>
      <c r="D398" s="77" t="s">
        <v>639</v>
      </c>
      <c r="E398" s="78" t="s">
        <v>706</v>
      </c>
      <c r="F398" s="77"/>
      <c r="G398" s="79">
        <f>G399</f>
        <v>1299154</v>
      </c>
      <c r="H398" s="79">
        <f>H399</f>
        <v>-1299154</v>
      </c>
      <c r="I398" s="79">
        <f t="shared" si="21"/>
        <v>0</v>
      </c>
      <c r="J398" s="79">
        <f>J399</f>
        <v>0</v>
      </c>
      <c r="K398" s="71">
        <v>0</v>
      </c>
      <c r="L398" s="105">
        <f t="shared" si="22"/>
        <v>0</v>
      </c>
      <c r="M398" s="95"/>
      <c r="N398" s="95"/>
      <c r="O398" s="95"/>
    </row>
    <row r="399" spans="2:15" s="64" customFormat="1" ht="25.5">
      <c r="B399" s="131" t="s">
        <v>767</v>
      </c>
      <c r="C399" s="77" t="s">
        <v>648</v>
      </c>
      <c r="D399" s="77" t="s">
        <v>639</v>
      </c>
      <c r="E399" s="78" t="s">
        <v>706</v>
      </c>
      <c r="F399" s="77">
        <v>600</v>
      </c>
      <c r="G399" s="79">
        <v>1299154</v>
      </c>
      <c r="H399" s="79">
        <v>-1299154</v>
      </c>
      <c r="I399" s="79">
        <f t="shared" si="21"/>
        <v>0</v>
      </c>
      <c r="J399" s="79">
        <v>0</v>
      </c>
      <c r="K399" s="79">
        <f>K405+K407+K400</f>
        <v>0</v>
      </c>
      <c r="L399" s="71">
        <f t="shared" si="22"/>
        <v>0</v>
      </c>
      <c r="M399" s="95"/>
      <c r="N399" s="95"/>
      <c r="O399" s="95"/>
    </row>
    <row r="400" spans="2:15" s="64" customFormat="1" ht="25.5">
      <c r="B400" s="131" t="s">
        <v>1085</v>
      </c>
      <c r="C400" s="77" t="s">
        <v>648</v>
      </c>
      <c r="D400" s="77" t="s">
        <v>639</v>
      </c>
      <c r="E400" s="78" t="s">
        <v>721</v>
      </c>
      <c r="F400" s="77"/>
      <c r="G400" s="79">
        <f>G401</f>
        <v>3306860</v>
      </c>
      <c r="H400" s="79">
        <f>H401</f>
        <v>-3306860</v>
      </c>
      <c r="I400" s="79">
        <f t="shared" si="21"/>
        <v>0</v>
      </c>
      <c r="J400" s="79">
        <f>J401</f>
        <v>0</v>
      </c>
      <c r="K400" s="79">
        <f>K401+K403</f>
        <v>0</v>
      </c>
      <c r="L400" s="105">
        <f t="shared" si="22"/>
        <v>0</v>
      </c>
      <c r="M400" s="95"/>
      <c r="N400" s="95"/>
      <c r="O400" s="95"/>
    </row>
    <row r="401" spans="2:15" s="64" customFormat="1" ht="25.5">
      <c r="B401" s="131" t="s">
        <v>767</v>
      </c>
      <c r="C401" s="77" t="s">
        <v>648</v>
      </c>
      <c r="D401" s="77" t="s">
        <v>639</v>
      </c>
      <c r="E401" s="78" t="s">
        <v>721</v>
      </c>
      <c r="F401" s="77" t="s">
        <v>973</v>
      </c>
      <c r="G401" s="79">
        <v>3306860</v>
      </c>
      <c r="H401" s="79">
        <v>-3306860</v>
      </c>
      <c r="I401" s="79">
        <f t="shared" si="21"/>
        <v>0</v>
      </c>
      <c r="J401" s="79">
        <v>0</v>
      </c>
      <c r="K401" s="79">
        <f>K402</f>
        <v>0</v>
      </c>
      <c r="L401" s="105">
        <f t="shared" si="22"/>
        <v>0</v>
      </c>
      <c r="M401" s="95"/>
      <c r="N401" s="95"/>
      <c r="O401" s="95"/>
    </row>
    <row r="402" spans="2:15" s="64" customFormat="1" ht="12.75" customHeight="1">
      <c r="B402" s="131" t="s">
        <v>1086</v>
      </c>
      <c r="C402" s="77" t="s">
        <v>648</v>
      </c>
      <c r="D402" s="77" t="s">
        <v>639</v>
      </c>
      <c r="E402" s="78" t="s">
        <v>693</v>
      </c>
      <c r="F402" s="77"/>
      <c r="G402" s="79">
        <f>G403</f>
        <v>2047180</v>
      </c>
      <c r="H402" s="79">
        <f>H403</f>
        <v>-2047180</v>
      </c>
      <c r="I402" s="79">
        <f t="shared" si="21"/>
        <v>0</v>
      </c>
      <c r="J402" s="79">
        <f>J403</f>
        <v>0</v>
      </c>
      <c r="K402" s="71">
        <v>0</v>
      </c>
      <c r="L402" s="105">
        <f t="shared" si="22"/>
        <v>0</v>
      </c>
      <c r="M402" s="95"/>
      <c r="N402" s="95"/>
      <c r="O402" s="95"/>
    </row>
    <row r="403" spans="2:15" s="64" customFormat="1" ht="36" customHeight="1">
      <c r="B403" s="131" t="s">
        <v>767</v>
      </c>
      <c r="C403" s="77" t="s">
        <v>648</v>
      </c>
      <c r="D403" s="77" t="s">
        <v>639</v>
      </c>
      <c r="E403" s="78" t="s">
        <v>693</v>
      </c>
      <c r="F403" s="77" t="s">
        <v>973</v>
      </c>
      <c r="G403" s="79">
        <v>2047180</v>
      </c>
      <c r="H403" s="79">
        <v>-2047180</v>
      </c>
      <c r="I403" s="79">
        <f t="shared" si="21"/>
        <v>0</v>
      </c>
      <c r="J403" s="79">
        <v>0</v>
      </c>
      <c r="K403" s="79">
        <f>K404</f>
        <v>0</v>
      </c>
      <c r="L403" s="105">
        <f t="shared" si="22"/>
        <v>0</v>
      </c>
      <c r="M403" s="95"/>
      <c r="N403" s="95"/>
      <c r="O403" s="95"/>
    </row>
    <row r="404" spans="2:15" s="64" customFormat="1" ht="24" customHeight="1">
      <c r="B404" s="131" t="s">
        <v>1209</v>
      </c>
      <c r="C404" s="77" t="s">
        <v>648</v>
      </c>
      <c r="D404" s="77" t="s">
        <v>639</v>
      </c>
      <c r="E404" s="78" t="s">
        <v>1210</v>
      </c>
      <c r="F404" s="77"/>
      <c r="G404" s="79">
        <f>G405</f>
        <v>0</v>
      </c>
      <c r="H404" s="79">
        <f>H405</f>
        <v>16400847</v>
      </c>
      <c r="I404" s="79">
        <f t="shared" si="21"/>
        <v>16400847</v>
      </c>
      <c r="J404" s="79">
        <f>J405</f>
        <v>16400847</v>
      </c>
      <c r="K404" s="71">
        <v>0</v>
      </c>
      <c r="L404" s="105">
        <f t="shared" si="22"/>
        <v>16400847</v>
      </c>
      <c r="M404" s="95"/>
      <c r="N404" s="95"/>
      <c r="O404" s="95"/>
    </row>
    <row r="405" spans="2:15" s="64" customFormat="1" ht="24" customHeight="1">
      <c r="B405" s="131" t="s">
        <v>1233</v>
      </c>
      <c r="C405" s="77" t="s">
        <v>648</v>
      </c>
      <c r="D405" s="77" t="s">
        <v>639</v>
      </c>
      <c r="E405" s="78" t="s">
        <v>1234</v>
      </c>
      <c r="F405" s="77"/>
      <c r="G405" s="79">
        <f>G406+G414+G418+G421+G416+G423+G408+G410+G412</f>
        <v>0</v>
      </c>
      <c r="H405" s="79">
        <f>H406+H414+H418+H421+H416+H423+H408+H410+H412</f>
        <v>16400847</v>
      </c>
      <c r="I405" s="79">
        <f t="shared" si="21"/>
        <v>16400847</v>
      </c>
      <c r="J405" s="79">
        <f>J406+J414+J418+J421+J416+J423+J408+J410+J412</f>
        <v>16400847</v>
      </c>
      <c r="K405" s="79">
        <f>K406</f>
        <v>0</v>
      </c>
      <c r="L405" s="105">
        <f t="shared" si="22"/>
        <v>16400847</v>
      </c>
      <c r="M405" s="95"/>
      <c r="N405" s="95"/>
      <c r="O405" s="95"/>
    </row>
    <row r="406" spans="2:15" s="64" customFormat="1" ht="12.75" customHeight="1" hidden="1">
      <c r="B406" s="131" t="s">
        <v>1235</v>
      </c>
      <c r="C406" s="77" t="s">
        <v>648</v>
      </c>
      <c r="D406" s="77" t="s">
        <v>639</v>
      </c>
      <c r="E406" s="78" t="s">
        <v>1236</v>
      </c>
      <c r="F406" s="77"/>
      <c r="G406" s="79">
        <f>G407</f>
        <v>0</v>
      </c>
      <c r="H406" s="79">
        <f>H407</f>
        <v>0</v>
      </c>
      <c r="I406" s="79">
        <f t="shared" si="21"/>
        <v>0</v>
      </c>
      <c r="J406" s="79">
        <f>J407</f>
        <v>0</v>
      </c>
      <c r="K406" s="71">
        <v>0</v>
      </c>
      <c r="L406" s="105">
        <f t="shared" si="22"/>
        <v>0</v>
      </c>
      <c r="M406" s="95"/>
      <c r="N406" s="95"/>
      <c r="O406" s="95"/>
    </row>
    <row r="407" spans="2:15" s="64" customFormat="1" ht="12.75" customHeight="1" hidden="1">
      <c r="B407" s="131" t="s">
        <v>767</v>
      </c>
      <c r="C407" s="77" t="s">
        <v>648</v>
      </c>
      <c r="D407" s="77" t="s">
        <v>639</v>
      </c>
      <c r="E407" s="78" t="s">
        <v>1236</v>
      </c>
      <c r="F407" s="77" t="s">
        <v>973</v>
      </c>
      <c r="G407" s="79"/>
      <c r="H407" s="79"/>
      <c r="I407" s="79">
        <f t="shared" si="21"/>
        <v>0</v>
      </c>
      <c r="J407" s="79"/>
      <c r="K407" s="79">
        <f>K408</f>
        <v>0</v>
      </c>
      <c r="L407" s="105">
        <f t="shared" si="22"/>
        <v>0</v>
      </c>
      <c r="M407" s="95"/>
      <c r="N407" s="95"/>
      <c r="O407" s="95"/>
    </row>
    <row r="408" spans="2:15" s="64" customFormat="1" ht="38.25">
      <c r="B408" s="131" t="s">
        <v>1237</v>
      </c>
      <c r="C408" s="77" t="s">
        <v>648</v>
      </c>
      <c r="D408" s="77" t="s">
        <v>639</v>
      </c>
      <c r="E408" s="78" t="s">
        <v>1238</v>
      </c>
      <c r="F408" s="77"/>
      <c r="G408" s="79">
        <f>G409</f>
        <v>0</v>
      </c>
      <c r="H408" s="79">
        <f>H409</f>
        <v>5008500</v>
      </c>
      <c r="I408" s="79">
        <f aca="true" t="shared" si="23" ref="I408:I413">G408+H408</f>
        <v>5008500</v>
      </c>
      <c r="J408" s="79">
        <f>J409</f>
        <v>5008500</v>
      </c>
      <c r="K408" s="71">
        <v>0</v>
      </c>
      <c r="L408" s="105">
        <f t="shared" si="22"/>
        <v>5008500</v>
      </c>
      <c r="M408" s="95"/>
      <c r="N408" s="95"/>
      <c r="O408" s="95"/>
    </row>
    <row r="409" spans="1:15" s="64" customFormat="1" ht="25.5">
      <c r="A409" s="68"/>
      <c r="B409" s="131" t="s">
        <v>767</v>
      </c>
      <c r="C409" s="77" t="s">
        <v>648</v>
      </c>
      <c r="D409" s="77" t="s">
        <v>639</v>
      </c>
      <c r="E409" s="78" t="s">
        <v>1238</v>
      </c>
      <c r="F409" s="77" t="s">
        <v>973</v>
      </c>
      <c r="G409" s="79">
        <v>0</v>
      </c>
      <c r="H409" s="79">
        <f>3846800+1161700</f>
        <v>5008500</v>
      </c>
      <c r="I409" s="79">
        <f t="shared" si="23"/>
        <v>5008500</v>
      </c>
      <c r="J409" s="79">
        <f>3846800+1161700</f>
        <v>5008500</v>
      </c>
      <c r="K409" s="71">
        <f>K410+K413</f>
        <v>0</v>
      </c>
      <c r="L409" s="71">
        <f t="shared" si="22"/>
        <v>5008500</v>
      </c>
      <c r="M409" s="95"/>
      <c r="N409" s="95"/>
      <c r="O409" s="95"/>
    </row>
    <row r="410" spans="2:15" s="64" customFormat="1" ht="38.25">
      <c r="B410" s="131" t="s">
        <v>1239</v>
      </c>
      <c r="C410" s="77" t="s">
        <v>648</v>
      </c>
      <c r="D410" s="77" t="s">
        <v>639</v>
      </c>
      <c r="E410" s="78" t="s">
        <v>1240</v>
      </c>
      <c r="F410" s="77"/>
      <c r="G410" s="79">
        <f>G411+G413</f>
        <v>0</v>
      </c>
      <c r="H410" s="79">
        <f>H411+H413</f>
        <v>1552500</v>
      </c>
      <c r="I410" s="79">
        <f t="shared" si="23"/>
        <v>1552500</v>
      </c>
      <c r="J410" s="79">
        <f>J411+J413</f>
        <v>1552500</v>
      </c>
      <c r="K410" s="71">
        <f>K411</f>
        <v>0</v>
      </c>
      <c r="L410" s="71">
        <f t="shared" si="22"/>
        <v>1552500</v>
      </c>
      <c r="M410" s="95"/>
      <c r="N410" s="95"/>
      <c r="O410" s="95"/>
    </row>
    <row r="411" spans="2:15" s="64" customFormat="1" ht="25.5">
      <c r="B411" s="131" t="s">
        <v>767</v>
      </c>
      <c r="C411" s="77" t="s">
        <v>648</v>
      </c>
      <c r="D411" s="77" t="s">
        <v>639</v>
      </c>
      <c r="E411" s="78" t="s">
        <v>1240</v>
      </c>
      <c r="F411" s="77" t="s">
        <v>973</v>
      </c>
      <c r="G411" s="79">
        <v>0</v>
      </c>
      <c r="H411" s="79">
        <f>1192400+360100</f>
        <v>1552500</v>
      </c>
      <c r="I411" s="79">
        <f t="shared" si="23"/>
        <v>1552500</v>
      </c>
      <c r="J411" s="79">
        <f>1192400+360100</f>
        <v>1552500</v>
      </c>
      <c r="K411" s="71">
        <f>K412</f>
        <v>0</v>
      </c>
      <c r="L411" s="71">
        <f t="shared" si="22"/>
        <v>1552500</v>
      </c>
      <c r="M411" s="95"/>
      <c r="N411" s="95"/>
      <c r="O411" s="95"/>
    </row>
    <row r="412" spans="2:15" s="64" customFormat="1" ht="24" hidden="1">
      <c r="B412" s="88" t="s">
        <v>1375</v>
      </c>
      <c r="C412" s="77" t="s">
        <v>648</v>
      </c>
      <c r="D412" s="77" t="s">
        <v>639</v>
      </c>
      <c r="E412" s="78" t="s">
        <v>1376</v>
      </c>
      <c r="F412" s="77"/>
      <c r="G412" s="79">
        <f>G413</f>
        <v>0</v>
      </c>
      <c r="H412" s="79">
        <f>H413</f>
        <v>0</v>
      </c>
      <c r="I412" s="79">
        <f t="shared" si="23"/>
        <v>0</v>
      </c>
      <c r="J412" s="79">
        <f>J413</f>
        <v>0</v>
      </c>
      <c r="K412" s="71"/>
      <c r="L412" s="71">
        <f t="shared" si="22"/>
        <v>0</v>
      </c>
      <c r="M412" s="95"/>
      <c r="N412" s="95"/>
      <c r="O412" s="95"/>
    </row>
    <row r="413" spans="2:15" s="64" customFormat="1" ht="24" hidden="1">
      <c r="B413" s="88" t="s">
        <v>767</v>
      </c>
      <c r="C413" s="77" t="s">
        <v>648</v>
      </c>
      <c r="D413" s="77" t="s">
        <v>639</v>
      </c>
      <c r="E413" s="78" t="s">
        <v>1376</v>
      </c>
      <c r="F413" s="77" t="s">
        <v>973</v>
      </c>
      <c r="G413" s="79">
        <v>0</v>
      </c>
      <c r="H413" s="79">
        <v>0</v>
      </c>
      <c r="I413" s="79">
        <f t="shared" si="23"/>
        <v>0</v>
      </c>
      <c r="J413" s="79">
        <v>0</v>
      </c>
      <c r="K413" s="71">
        <f>K414</f>
        <v>0</v>
      </c>
      <c r="L413" s="71">
        <f t="shared" si="22"/>
        <v>0</v>
      </c>
      <c r="M413" s="95"/>
      <c r="N413" s="95"/>
      <c r="O413" s="95"/>
    </row>
    <row r="414" spans="2:15" s="64" customFormat="1" ht="24">
      <c r="B414" s="88" t="s">
        <v>1397</v>
      </c>
      <c r="C414" s="77" t="s">
        <v>648</v>
      </c>
      <c r="D414" s="77" t="s">
        <v>639</v>
      </c>
      <c r="E414" s="78" t="s">
        <v>1241</v>
      </c>
      <c r="F414" s="77"/>
      <c r="G414" s="79">
        <f>G415</f>
        <v>0</v>
      </c>
      <c r="H414" s="79">
        <f>H415</f>
        <v>5444800</v>
      </c>
      <c r="I414" s="79">
        <f t="shared" si="21"/>
        <v>5444800</v>
      </c>
      <c r="J414" s="79">
        <f>J415</f>
        <v>5444800</v>
      </c>
      <c r="K414" s="71">
        <f>K415</f>
        <v>0</v>
      </c>
      <c r="L414" s="71">
        <f t="shared" si="22"/>
        <v>5444800</v>
      </c>
      <c r="M414" s="95"/>
      <c r="N414" s="95"/>
      <c r="O414" s="95"/>
    </row>
    <row r="415" spans="2:15" s="64" customFormat="1" ht="24">
      <c r="B415" s="88" t="s">
        <v>767</v>
      </c>
      <c r="C415" s="77" t="s">
        <v>648</v>
      </c>
      <c r="D415" s="77" t="s">
        <v>639</v>
      </c>
      <c r="E415" s="78" t="s">
        <v>1241</v>
      </c>
      <c r="F415" s="77" t="s">
        <v>973</v>
      </c>
      <c r="G415" s="79"/>
      <c r="H415" s="79">
        <f>4181900+1262900</f>
        <v>5444800</v>
      </c>
      <c r="I415" s="79">
        <f t="shared" si="21"/>
        <v>5444800</v>
      </c>
      <c r="J415" s="79">
        <f>4181900+1262900</f>
        <v>5444800</v>
      </c>
      <c r="K415" s="71"/>
      <c r="L415" s="71">
        <f t="shared" si="22"/>
        <v>5444800</v>
      </c>
      <c r="M415" s="95"/>
      <c r="N415" s="95"/>
      <c r="O415" s="95"/>
    </row>
    <row r="416" spans="2:15" ht="24" hidden="1">
      <c r="B416" s="88" t="s">
        <v>1375</v>
      </c>
      <c r="C416" s="77" t="s">
        <v>648</v>
      </c>
      <c r="D416" s="77" t="s">
        <v>639</v>
      </c>
      <c r="E416" s="78" t="s">
        <v>1398</v>
      </c>
      <c r="F416" s="77"/>
      <c r="G416" s="79">
        <f>G417</f>
        <v>0</v>
      </c>
      <c r="H416" s="79">
        <f>H417</f>
        <v>0</v>
      </c>
      <c r="I416" s="79">
        <f t="shared" si="21"/>
        <v>0</v>
      </c>
      <c r="J416" s="79">
        <f>J417</f>
        <v>0</v>
      </c>
      <c r="K416" s="71">
        <f>K417</f>
        <v>0</v>
      </c>
      <c r="L416" s="71">
        <f>J416+K416</f>
        <v>0</v>
      </c>
      <c r="M416" s="95"/>
      <c r="N416" s="95"/>
      <c r="O416" s="95"/>
    </row>
    <row r="417" spans="2:15" ht="24" hidden="1">
      <c r="B417" s="88" t="s">
        <v>767</v>
      </c>
      <c r="C417" s="77" t="s">
        <v>648</v>
      </c>
      <c r="D417" s="77" t="s">
        <v>639</v>
      </c>
      <c r="E417" s="78" t="s">
        <v>1398</v>
      </c>
      <c r="F417" s="77" t="s">
        <v>973</v>
      </c>
      <c r="G417" s="79"/>
      <c r="H417" s="79">
        <v>0</v>
      </c>
      <c r="I417" s="79">
        <f t="shared" si="21"/>
        <v>0</v>
      </c>
      <c r="J417" s="79">
        <v>0</v>
      </c>
      <c r="K417" s="71">
        <f>K418+K419</f>
        <v>0</v>
      </c>
      <c r="L417" s="71">
        <f>J417+K417</f>
        <v>0</v>
      </c>
      <c r="M417" s="95"/>
      <c r="N417" s="95"/>
      <c r="O417" s="95"/>
    </row>
    <row r="418" spans="2:15" ht="25.5">
      <c r="B418" s="131" t="s">
        <v>1242</v>
      </c>
      <c r="C418" s="77" t="s">
        <v>648</v>
      </c>
      <c r="D418" s="77" t="s">
        <v>639</v>
      </c>
      <c r="E418" s="78" t="s">
        <v>1243</v>
      </c>
      <c r="F418" s="77"/>
      <c r="G418" s="79">
        <f>G419</f>
        <v>0</v>
      </c>
      <c r="H418" s="79">
        <f>H419</f>
        <v>2190500</v>
      </c>
      <c r="I418" s="79">
        <f t="shared" si="21"/>
        <v>2190500</v>
      </c>
      <c r="J418" s="79">
        <f>J419</f>
        <v>2190500</v>
      </c>
      <c r="K418" s="71"/>
      <c r="L418" s="71">
        <f>J418+K418</f>
        <v>2190500</v>
      </c>
      <c r="M418" s="95"/>
      <c r="N418" s="95"/>
      <c r="O418" s="95"/>
    </row>
    <row r="419" spans="2:15" ht="25.5">
      <c r="B419" s="131" t="s">
        <v>1086</v>
      </c>
      <c r="C419" s="77" t="s">
        <v>648</v>
      </c>
      <c r="D419" s="77" t="s">
        <v>639</v>
      </c>
      <c r="E419" s="78" t="s">
        <v>1244</v>
      </c>
      <c r="F419" s="77"/>
      <c r="G419" s="79">
        <f>G420</f>
        <v>0</v>
      </c>
      <c r="H419" s="79">
        <f>H420</f>
        <v>2190500</v>
      </c>
      <c r="I419" s="79">
        <f t="shared" si="21"/>
        <v>2190500</v>
      </c>
      <c r="J419" s="79">
        <f>J420</f>
        <v>2190500</v>
      </c>
      <c r="K419" s="71"/>
      <c r="L419" s="71">
        <f>J419+K419</f>
        <v>2190500</v>
      </c>
      <c r="M419" s="95"/>
      <c r="N419" s="95"/>
      <c r="O419" s="95"/>
    </row>
    <row r="420" spans="2:15" ht="25.5">
      <c r="B420" s="131" t="s">
        <v>767</v>
      </c>
      <c r="C420" s="77" t="s">
        <v>648</v>
      </c>
      <c r="D420" s="77" t="s">
        <v>639</v>
      </c>
      <c r="E420" s="78" t="s">
        <v>1244</v>
      </c>
      <c r="F420" s="77" t="s">
        <v>973</v>
      </c>
      <c r="G420" s="79"/>
      <c r="H420" s="79">
        <f>1682400+508100</f>
        <v>2190500</v>
      </c>
      <c r="I420" s="79">
        <f t="shared" si="21"/>
        <v>2190500</v>
      </c>
      <c r="J420" s="79">
        <f>1682400+508100</f>
        <v>2190500</v>
      </c>
      <c r="K420" s="79">
        <f>K421</f>
        <v>0</v>
      </c>
      <c r="L420" s="71">
        <f t="shared" si="22"/>
        <v>2190500</v>
      </c>
      <c r="M420" s="95"/>
      <c r="N420" s="95"/>
      <c r="O420" s="95"/>
    </row>
    <row r="421" spans="2:15" ht="38.25">
      <c r="B421" s="131" t="s">
        <v>1245</v>
      </c>
      <c r="C421" s="77" t="s">
        <v>648</v>
      </c>
      <c r="D421" s="77" t="s">
        <v>639</v>
      </c>
      <c r="E421" s="78" t="s">
        <v>1246</v>
      </c>
      <c r="F421" s="77"/>
      <c r="G421" s="79">
        <f>G422</f>
        <v>0</v>
      </c>
      <c r="H421" s="79">
        <f>H422</f>
        <v>2204547</v>
      </c>
      <c r="I421" s="79">
        <f t="shared" si="21"/>
        <v>2204547</v>
      </c>
      <c r="J421" s="79">
        <f>J422</f>
        <v>2204547</v>
      </c>
      <c r="K421" s="79">
        <f>K422+K426+K430</f>
        <v>0</v>
      </c>
      <c r="L421" s="71">
        <f t="shared" si="22"/>
        <v>2204547</v>
      </c>
      <c r="M421" s="95"/>
      <c r="N421" s="95"/>
      <c r="O421" s="95"/>
    </row>
    <row r="422" spans="2:15" ht="25.5">
      <c r="B422" s="131" t="s">
        <v>767</v>
      </c>
      <c r="C422" s="77" t="s">
        <v>648</v>
      </c>
      <c r="D422" s="77" t="s">
        <v>639</v>
      </c>
      <c r="E422" s="78" t="s">
        <v>1246</v>
      </c>
      <c r="F422" s="77" t="s">
        <v>973</v>
      </c>
      <c r="G422" s="79"/>
      <c r="H422" s="79">
        <f>1693200+511347</f>
        <v>2204547</v>
      </c>
      <c r="I422" s="79">
        <f t="shared" si="21"/>
        <v>2204547</v>
      </c>
      <c r="J422" s="79">
        <f>1693200+511347</f>
        <v>2204547</v>
      </c>
      <c r="K422" s="79">
        <f>K423+K424+K425</f>
        <v>0</v>
      </c>
      <c r="L422" s="71">
        <f t="shared" si="22"/>
        <v>2204547</v>
      </c>
      <c r="M422" s="95"/>
      <c r="N422" s="95"/>
      <c r="O422" s="95"/>
    </row>
    <row r="423" spans="2:15" s="64" customFormat="1" ht="24" hidden="1">
      <c r="B423" s="88" t="s">
        <v>1399</v>
      </c>
      <c r="C423" s="77" t="s">
        <v>648</v>
      </c>
      <c r="D423" s="77" t="s">
        <v>639</v>
      </c>
      <c r="E423" s="78" t="s">
        <v>1400</v>
      </c>
      <c r="F423" s="77"/>
      <c r="G423" s="79">
        <f>G424</f>
        <v>0</v>
      </c>
      <c r="H423" s="79">
        <f>H424</f>
        <v>0</v>
      </c>
      <c r="I423" s="79">
        <f t="shared" si="21"/>
        <v>0</v>
      </c>
      <c r="J423" s="79">
        <f>J424</f>
        <v>0</v>
      </c>
      <c r="K423" s="71"/>
      <c r="L423" s="71">
        <f t="shared" si="22"/>
        <v>0</v>
      </c>
      <c r="M423" s="95"/>
      <c r="N423" s="95"/>
      <c r="O423" s="95"/>
    </row>
    <row r="424" spans="2:15" ht="24" hidden="1">
      <c r="B424" s="88" t="s">
        <v>767</v>
      </c>
      <c r="C424" s="77" t="s">
        <v>648</v>
      </c>
      <c r="D424" s="77" t="s">
        <v>639</v>
      </c>
      <c r="E424" s="78" t="s">
        <v>1400</v>
      </c>
      <c r="F424" s="77" t="s">
        <v>973</v>
      </c>
      <c r="G424" s="79"/>
      <c r="H424" s="79"/>
      <c r="I424" s="79">
        <f t="shared" si="21"/>
        <v>0</v>
      </c>
      <c r="J424" s="79"/>
      <c r="K424" s="71"/>
      <c r="L424" s="71">
        <f t="shared" si="22"/>
        <v>0</v>
      </c>
      <c r="M424" s="95"/>
      <c r="N424" s="95"/>
      <c r="O424" s="95"/>
    </row>
    <row r="425" spans="2:15" s="64" customFormat="1" ht="36">
      <c r="B425" s="88" t="s">
        <v>1247</v>
      </c>
      <c r="C425" s="77" t="s">
        <v>648</v>
      </c>
      <c r="D425" s="77" t="s">
        <v>639</v>
      </c>
      <c r="E425" s="78" t="s">
        <v>1248</v>
      </c>
      <c r="F425" s="77"/>
      <c r="G425" s="79">
        <f>G426</f>
        <v>0</v>
      </c>
      <c r="H425" s="79">
        <f>H426</f>
        <v>7340900</v>
      </c>
      <c r="I425" s="79">
        <f t="shared" si="21"/>
        <v>7340900</v>
      </c>
      <c r="J425" s="79">
        <f>J426</f>
        <v>7340900</v>
      </c>
      <c r="K425" s="71">
        <v>0</v>
      </c>
      <c r="L425" s="71">
        <f t="shared" si="22"/>
        <v>7340900</v>
      </c>
      <c r="M425" s="95"/>
      <c r="N425" s="95"/>
      <c r="O425" s="95"/>
    </row>
    <row r="426" spans="2:15" ht="23.25" customHeight="1">
      <c r="B426" s="88" t="s">
        <v>1361</v>
      </c>
      <c r="C426" s="77" t="s">
        <v>648</v>
      </c>
      <c r="D426" s="77" t="s">
        <v>639</v>
      </c>
      <c r="E426" s="78" t="s">
        <v>1362</v>
      </c>
      <c r="F426" s="77"/>
      <c r="G426" s="79">
        <f>G427+G429</f>
        <v>0</v>
      </c>
      <c r="H426" s="79">
        <f>H427+H429</f>
        <v>7340900</v>
      </c>
      <c r="I426" s="79">
        <f t="shared" si="21"/>
        <v>7340900</v>
      </c>
      <c r="J426" s="79">
        <f>J427+J429</f>
        <v>7340900</v>
      </c>
      <c r="K426" s="79">
        <f>K428+K427+K429</f>
        <v>0</v>
      </c>
      <c r="L426" s="71">
        <f t="shared" si="22"/>
        <v>7340900</v>
      </c>
      <c r="M426" s="95"/>
      <c r="N426" s="95"/>
      <c r="O426" s="95"/>
    </row>
    <row r="427" spans="2:15" ht="23.25" customHeight="1">
      <c r="B427" s="88" t="s">
        <v>1401</v>
      </c>
      <c r="C427" s="77" t="s">
        <v>648</v>
      </c>
      <c r="D427" s="77" t="s">
        <v>639</v>
      </c>
      <c r="E427" s="78" t="s">
        <v>1402</v>
      </c>
      <c r="F427" s="77"/>
      <c r="G427" s="79">
        <f>G428</f>
        <v>0</v>
      </c>
      <c r="H427" s="79">
        <f>H428</f>
        <v>7340900</v>
      </c>
      <c r="I427" s="79">
        <f t="shared" si="21"/>
        <v>7340900</v>
      </c>
      <c r="J427" s="79">
        <f>J428</f>
        <v>7340900</v>
      </c>
      <c r="K427" s="71">
        <v>0</v>
      </c>
      <c r="L427" s="71">
        <f t="shared" si="22"/>
        <v>7340900</v>
      </c>
      <c r="M427" s="95"/>
      <c r="N427" s="95"/>
      <c r="O427" s="95"/>
    </row>
    <row r="428" spans="2:15" ht="24">
      <c r="B428" s="88" t="s">
        <v>767</v>
      </c>
      <c r="C428" s="77" t="s">
        <v>648</v>
      </c>
      <c r="D428" s="77" t="s">
        <v>639</v>
      </c>
      <c r="E428" s="78" t="s">
        <v>1402</v>
      </c>
      <c r="F428" s="77" t="s">
        <v>973</v>
      </c>
      <c r="G428" s="79"/>
      <c r="H428" s="79">
        <f>5638200+1702700</f>
        <v>7340900</v>
      </c>
      <c r="I428" s="79">
        <f t="shared" si="21"/>
        <v>7340900</v>
      </c>
      <c r="J428" s="79">
        <f>5638200+1702700</f>
        <v>7340900</v>
      </c>
      <c r="K428" s="71"/>
      <c r="L428" s="71">
        <f t="shared" si="22"/>
        <v>7340900</v>
      </c>
      <c r="M428" s="95"/>
      <c r="N428" s="95"/>
      <c r="O428" s="95"/>
    </row>
    <row r="429" spans="2:15" ht="24" hidden="1">
      <c r="B429" s="88" t="s">
        <v>1375</v>
      </c>
      <c r="C429" s="77" t="s">
        <v>648</v>
      </c>
      <c r="D429" s="77" t="s">
        <v>639</v>
      </c>
      <c r="E429" s="78" t="s">
        <v>1403</v>
      </c>
      <c r="F429" s="77"/>
      <c r="G429" s="79">
        <f>G430</f>
        <v>0</v>
      </c>
      <c r="H429" s="79">
        <f>H430</f>
        <v>0</v>
      </c>
      <c r="I429" s="79">
        <f t="shared" si="21"/>
        <v>0</v>
      </c>
      <c r="J429" s="79">
        <f>J430</f>
        <v>0</v>
      </c>
      <c r="K429" s="71"/>
      <c r="L429" s="71">
        <f t="shared" si="22"/>
        <v>0</v>
      </c>
      <c r="M429" s="95"/>
      <c r="N429" s="95"/>
      <c r="O429" s="95"/>
    </row>
    <row r="430" spans="2:15" ht="24" hidden="1">
      <c r="B430" s="88" t="s">
        <v>767</v>
      </c>
      <c r="C430" s="77" t="s">
        <v>648</v>
      </c>
      <c r="D430" s="77" t="s">
        <v>639</v>
      </c>
      <c r="E430" s="78" t="s">
        <v>1403</v>
      </c>
      <c r="F430" s="77" t="s">
        <v>973</v>
      </c>
      <c r="G430" s="79"/>
      <c r="H430" s="79"/>
      <c r="I430" s="79">
        <f t="shared" si="21"/>
        <v>0</v>
      </c>
      <c r="J430" s="79"/>
      <c r="K430" s="79">
        <f>K432+K433+K431</f>
        <v>0</v>
      </c>
      <c r="L430" s="71">
        <f t="shared" si="22"/>
        <v>0</v>
      </c>
      <c r="M430" s="95"/>
      <c r="N430" s="95"/>
      <c r="O430" s="95"/>
    </row>
    <row r="431" spans="2:15" ht="12.75">
      <c r="B431" s="130" t="s">
        <v>551</v>
      </c>
      <c r="C431" s="117" t="s">
        <v>648</v>
      </c>
      <c r="D431" s="128" t="s">
        <v>648</v>
      </c>
      <c r="E431" s="128"/>
      <c r="F431" s="117"/>
      <c r="G431" s="129">
        <f>G432+G441+G442</f>
        <v>1200800</v>
      </c>
      <c r="H431" s="129">
        <f>H432+H441+H442</f>
        <v>2700</v>
      </c>
      <c r="I431" s="129">
        <f t="shared" si="21"/>
        <v>1203500</v>
      </c>
      <c r="J431" s="129">
        <f>J432+J441+J442</f>
        <v>1203500</v>
      </c>
      <c r="K431" s="71"/>
      <c r="L431" s="105">
        <f t="shared" si="22"/>
        <v>1203500</v>
      </c>
      <c r="M431" s="95"/>
      <c r="N431" s="95"/>
      <c r="O431" s="95"/>
    </row>
    <row r="432" spans="2:15" ht="25.5">
      <c r="B432" s="131" t="s">
        <v>861</v>
      </c>
      <c r="C432" s="77" t="s">
        <v>648</v>
      </c>
      <c r="D432" s="78" t="s">
        <v>648</v>
      </c>
      <c r="E432" s="78" t="s">
        <v>752</v>
      </c>
      <c r="F432" s="77"/>
      <c r="G432" s="79">
        <f>G433</f>
        <v>1200800</v>
      </c>
      <c r="H432" s="79">
        <f>H433</f>
        <v>-1200800</v>
      </c>
      <c r="I432" s="79">
        <f t="shared" si="21"/>
        <v>0</v>
      </c>
      <c r="J432" s="79">
        <f>J433</f>
        <v>0</v>
      </c>
      <c r="K432" s="71">
        <v>0</v>
      </c>
      <c r="L432" s="105">
        <f t="shared" si="22"/>
        <v>0</v>
      </c>
      <c r="M432" s="95"/>
      <c r="N432" s="95"/>
      <c r="O432" s="95"/>
    </row>
    <row r="433" spans="2:15" ht="38.25">
      <c r="B433" s="131" t="s">
        <v>864</v>
      </c>
      <c r="C433" s="77" t="s">
        <v>648</v>
      </c>
      <c r="D433" s="78" t="s">
        <v>648</v>
      </c>
      <c r="E433" s="78" t="s">
        <v>1062</v>
      </c>
      <c r="F433" s="77"/>
      <c r="G433" s="79">
        <f>G435+G436+G434</f>
        <v>1200800</v>
      </c>
      <c r="H433" s="79">
        <f>H435+H436+H434</f>
        <v>-1200800</v>
      </c>
      <c r="I433" s="79">
        <f t="shared" si="21"/>
        <v>0</v>
      </c>
      <c r="J433" s="79">
        <f>J435+J436+J434</f>
        <v>0</v>
      </c>
      <c r="K433" s="71">
        <v>0</v>
      </c>
      <c r="L433" s="105">
        <f t="shared" si="22"/>
        <v>0</v>
      </c>
      <c r="M433" s="95"/>
      <c r="N433" s="95"/>
      <c r="O433" s="95"/>
    </row>
    <row r="434" spans="2:15" ht="25.5" hidden="1">
      <c r="B434" s="131" t="s">
        <v>766</v>
      </c>
      <c r="C434" s="77" t="s">
        <v>648</v>
      </c>
      <c r="D434" s="78" t="s">
        <v>648</v>
      </c>
      <c r="E434" s="78" t="s">
        <v>1062</v>
      </c>
      <c r="F434" s="77" t="s">
        <v>971</v>
      </c>
      <c r="G434" s="79">
        <v>0</v>
      </c>
      <c r="H434" s="79">
        <v>0</v>
      </c>
      <c r="I434" s="79">
        <f t="shared" si="21"/>
        <v>0</v>
      </c>
      <c r="J434" s="79"/>
      <c r="K434" s="79">
        <f>K438+K443+K462+K435</f>
        <v>0</v>
      </c>
      <c r="L434" s="79">
        <f t="shared" si="22"/>
        <v>0</v>
      </c>
      <c r="M434" s="95"/>
      <c r="N434" s="95"/>
      <c r="O434" s="95"/>
    </row>
    <row r="435" spans="2:15" s="64" customFormat="1" ht="12.75">
      <c r="B435" s="131" t="s">
        <v>771</v>
      </c>
      <c r="C435" s="77" t="s">
        <v>648</v>
      </c>
      <c r="D435" s="78" t="s">
        <v>648</v>
      </c>
      <c r="E435" s="78" t="s">
        <v>1062</v>
      </c>
      <c r="F435" s="77">
        <v>300</v>
      </c>
      <c r="G435" s="79">
        <v>666920</v>
      </c>
      <c r="H435" s="79">
        <v>-666920</v>
      </c>
      <c r="I435" s="79">
        <f t="shared" si="21"/>
        <v>0</v>
      </c>
      <c r="J435" s="79">
        <v>0</v>
      </c>
      <c r="K435" s="71">
        <f>K436</f>
        <v>0</v>
      </c>
      <c r="L435" s="105">
        <f t="shared" si="22"/>
        <v>0</v>
      </c>
      <c r="M435" s="95"/>
      <c r="N435" s="95"/>
      <c r="O435" s="95"/>
    </row>
    <row r="436" spans="2:15" s="64" customFormat="1" ht="25.5">
      <c r="B436" s="131" t="s">
        <v>767</v>
      </c>
      <c r="C436" s="77" t="s">
        <v>648</v>
      </c>
      <c r="D436" s="78" t="s">
        <v>648</v>
      </c>
      <c r="E436" s="78" t="s">
        <v>1062</v>
      </c>
      <c r="F436" s="77">
        <v>600</v>
      </c>
      <c r="G436" s="79">
        <v>533880</v>
      </c>
      <c r="H436" s="79">
        <v>-533880</v>
      </c>
      <c r="I436" s="79">
        <f t="shared" si="21"/>
        <v>0</v>
      </c>
      <c r="J436" s="79">
        <v>0</v>
      </c>
      <c r="K436" s="71">
        <f>K437</f>
        <v>0</v>
      </c>
      <c r="L436" s="105">
        <f t="shared" si="22"/>
        <v>0</v>
      </c>
      <c r="M436" s="95"/>
      <c r="N436" s="95"/>
      <c r="O436" s="95"/>
    </row>
    <row r="437" spans="2:15" s="64" customFormat="1" ht="38.25">
      <c r="B437" s="131" t="s">
        <v>1247</v>
      </c>
      <c r="C437" s="77" t="s">
        <v>648</v>
      </c>
      <c r="D437" s="78" t="s">
        <v>648</v>
      </c>
      <c r="E437" s="78" t="s">
        <v>1248</v>
      </c>
      <c r="F437" s="77"/>
      <c r="G437" s="79">
        <f aca="true" t="shared" si="24" ref="G437:H439">G438</f>
        <v>0</v>
      </c>
      <c r="H437" s="79">
        <f t="shared" si="24"/>
        <v>1203500</v>
      </c>
      <c r="I437" s="79">
        <f t="shared" si="21"/>
        <v>1203500</v>
      </c>
      <c r="J437" s="79">
        <f>J438</f>
        <v>1203500</v>
      </c>
      <c r="K437" s="71">
        <v>0</v>
      </c>
      <c r="L437" s="105">
        <f t="shared" si="22"/>
        <v>1203500</v>
      </c>
      <c r="M437" s="95"/>
      <c r="N437" s="95"/>
      <c r="O437" s="95"/>
    </row>
    <row r="438" spans="2:15" s="64" customFormat="1" ht="12.75">
      <c r="B438" s="131" t="s">
        <v>1249</v>
      </c>
      <c r="C438" s="77" t="s">
        <v>648</v>
      </c>
      <c r="D438" s="78" t="s">
        <v>648</v>
      </c>
      <c r="E438" s="78" t="s">
        <v>1250</v>
      </c>
      <c r="F438" s="77"/>
      <c r="G438" s="79">
        <f t="shared" si="24"/>
        <v>0</v>
      </c>
      <c r="H438" s="79">
        <f t="shared" si="24"/>
        <v>1203500</v>
      </c>
      <c r="I438" s="79">
        <f t="shared" si="21"/>
        <v>1203500</v>
      </c>
      <c r="J438" s="79">
        <f>J439</f>
        <v>1203500</v>
      </c>
      <c r="K438" s="71">
        <f>K439+K441</f>
        <v>0</v>
      </c>
      <c r="L438" s="105">
        <f t="shared" si="22"/>
        <v>1203500</v>
      </c>
      <c r="M438" s="95"/>
      <c r="N438" s="95"/>
      <c r="O438" s="95"/>
    </row>
    <row r="439" spans="2:15" s="64" customFormat="1" ht="25.5">
      <c r="B439" s="131" t="s">
        <v>1251</v>
      </c>
      <c r="C439" s="77" t="s">
        <v>648</v>
      </c>
      <c r="D439" s="78" t="s">
        <v>648</v>
      </c>
      <c r="E439" s="78" t="s">
        <v>1252</v>
      </c>
      <c r="F439" s="77"/>
      <c r="G439" s="79">
        <f t="shared" si="24"/>
        <v>0</v>
      </c>
      <c r="H439" s="79">
        <f t="shared" si="24"/>
        <v>1203500</v>
      </c>
      <c r="I439" s="79">
        <f t="shared" si="21"/>
        <v>1203500</v>
      </c>
      <c r="J439" s="79">
        <f>J440</f>
        <v>1203500</v>
      </c>
      <c r="K439" s="71">
        <f>K440</f>
        <v>0</v>
      </c>
      <c r="L439" s="105">
        <f t="shared" si="22"/>
        <v>1203500</v>
      </c>
      <c r="M439" s="95"/>
      <c r="N439" s="95"/>
      <c r="O439" s="95"/>
    </row>
    <row r="440" spans="2:15" s="64" customFormat="1" ht="25.5">
      <c r="B440" s="131" t="s">
        <v>1253</v>
      </c>
      <c r="C440" s="77" t="s">
        <v>648</v>
      </c>
      <c r="D440" s="78" t="s">
        <v>648</v>
      </c>
      <c r="E440" s="78" t="s">
        <v>1254</v>
      </c>
      <c r="F440" s="77"/>
      <c r="G440" s="79">
        <f>G441+G442</f>
        <v>0</v>
      </c>
      <c r="H440" s="79">
        <f>H441+H442</f>
        <v>1203500</v>
      </c>
      <c r="I440" s="79">
        <f t="shared" si="21"/>
        <v>1203500</v>
      </c>
      <c r="J440" s="79">
        <f>J441+J442</f>
        <v>1203500</v>
      </c>
      <c r="K440" s="71">
        <v>0</v>
      </c>
      <c r="L440" s="105">
        <f t="shared" si="22"/>
        <v>1203500</v>
      </c>
      <c r="M440" s="95"/>
      <c r="N440" s="95"/>
      <c r="O440" s="95"/>
    </row>
    <row r="441" spans="2:15" s="64" customFormat="1" ht="12.75">
      <c r="B441" s="131" t="s">
        <v>771</v>
      </c>
      <c r="C441" s="77" t="s">
        <v>648</v>
      </c>
      <c r="D441" s="78" t="s">
        <v>648</v>
      </c>
      <c r="E441" s="78" t="s">
        <v>1254</v>
      </c>
      <c r="F441" s="77" t="s">
        <v>997</v>
      </c>
      <c r="G441" s="79"/>
      <c r="H441" s="79">
        <f>124900+449600</f>
        <v>574500</v>
      </c>
      <c r="I441" s="79">
        <f t="shared" si="21"/>
        <v>574500</v>
      </c>
      <c r="J441" s="79">
        <f>124900+449600</f>
        <v>574500</v>
      </c>
      <c r="K441" s="71">
        <f>K442</f>
        <v>0</v>
      </c>
      <c r="L441" s="105">
        <f t="shared" si="22"/>
        <v>574500</v>
      </c>
      <c r="M441" s="95"/>
      <c r="N441" s="95"/>
      <c r="O441" s="95"/>
    </row>
    <row r="442" spans="2:15" s="64" customFormat="1" ht="25.5">
      <c r="B442" s="131" t="s">
        <v>767</v>
      </c>
      <c r="C442" s="77" t="s">
        <v>648</v>
      </c>
      <c r="D442" s="78" t="s">
        <v>648</v>
      </c>
      <c r="E442" s="78" t="s">
        <v>1254</v>
      </c>
      <c r="F442" s="77" t="s">
        <v>973</v>
      </c>
      <c r="G442" s="79"/>
      <c r="H442" s="79">
        <f>629000</f>
        <v>629000</v>
      </c>
      <c r="I442" s="79">
        <f t="shared" si="21"/>
        <v>629000</v>
      </c>
      <c r="J442" s="79">
        <f>629000</f>
        <v>629000</v>
      </c>
      <c r="K442" s="71">
        <v>0</v>
      </c>
      <c r="L442" s="105">
        <f t="shared" si="22"/>
        <v>629000</v>
      </c>
      <c r="M442" s="95"/>
      <c r="N442" s="95"/>
      <c r="O442" s="95"/>
    </row>
    <row r="443" spans="2:15" ht="12.75">
      <c r="B443" s="130" t="s">
        <v>553</v>
      </c>
      <c r="C443" s="117" t="s">
        <v>648</v>
      </c>
      <c r="D443" s="128" t="s">
        <v>644</v>
      </c>
      <c r="E443" s="128"/>
      <c r="F443" s="117"/>
      <c r="G443" s="129">
        <f>G447+G452+G471+G444+G474</f>
        <v>19493363</v>
      </c>
      <c r="H443" s="129">
        <f>H447+H452+H471+H444+H474</f>
        <v>-3707313</v>
      </c>
      <c r="I443" s="129">
        <f t="shared" si="21"/>
        <v>15786050</v>
      </c>
      <c r="J443" s="129">
        <f>J447+J452+J471+J444+J474</f>
        <v>15786050</v>
      </c>
      <c r="K443" s="79">
        <f>K444+K457+K455+K450</f>
        <v>0</v>
      </c>
      <c r="L443" s="105">
        <f t="shared" si="22"/>
        <v>15786050</v>
      </c>
      <c r="M443" s="95"/>
      <c r="N443" s="95"/>
      <c r="O443" s="95"/>
    </row>
    <row r="444" spans="2:15" ht="38.25" hidden="1">
      <c r="B444" s="131" t="s">
        <v>866</v>
      </c>
      <c r="C444" s="77" t="s">
        <v>648</v>
      </c>
      <c r="D444" s="78" t="s">
        <v>644</v>
      </c>
      <c r="E444" s="78" t="s">
        <v>736</v>
      </c>
      <c r="F444" s="77"/>
      <c r="G444" s="79">
        <f>G445</f>
        <v>0</v>
      </c>
      <c r="H444" s="79">
        <f>H445</f>
        <v>0</v>
      </c>
      <c r="I444" s="79">
        <f t="shared" si="21"/>
        <v>0</v>
      </c>
      <c r="J444" s="79">
        <f>J445</f>
        <v>0</v>
      </c>
      <c r="K444" s="79">
        <f>K445+K447</f>
        <v>0</v>
      </c>
      <c r="L444" s="105">
        <f t="shared" si="22"/>
        <v>0</v>
      </c>
      <c r="M444" s="95"/>
      <c r="N444" s="95"/>
      <c r="O444" s="95"/>
    </row>
    <row r="445" spans="2:15" ht="25.5" hidden="1">
      <c r="B445" s="131" t="s">
        <v>981</v>
      </c>
      <c r="C445" s="77" t="s">
        <v>648</v>
      </c>
      <c r="D445" s="78" t="s">
        <v>644</v>
      </c>
      <c r="E445" s="78" t="s">
        <v>978</v>
      </c>
      <c r="F445" s="77"/>
      <c r="G445" s="79">
        <f>G446</f>
        <v>0</v>
      </c>
      <c r="H445" s="79">
        <f>H446</f>
        <v>0</v>
      </c>
      <c r="I445" s="79">
        <f t="shared" si="21"/>
        <v>0</v>
      </c>
      <c r="J445" s="79">
        <f>J446</f>
        <v>0</v>
      </c>
      <c r="K445" s="79">
        <f>K446</f>
        <v>0</v>
      </c>
      <c r="L445" s="105">
        <f t="shared" si="22"/>
        <v>0</v>
      </c>
      <c r="M445" s="95"/>
      <c r="N445" s="95"/>
      <c r="O445" s="95"/>
    </row>
    <row r="446" spans="2:15" ht="36" customHeight="1" hidden="1">
      <c r="B446" s="131" t="s">
        <v>766</v>
      </c>
      <c r="C446" s="77" t="s">
        <v>648</v>
      </c>
      <c r="D446" s="78" t="s">
        <v>644</v>
      </c>
      <c r="E446" s="78" t="s">
        <v>978</v>
      </c>
      <c r="F446" s="77">
        <v>200</v>
      </c>
      <c r="G446" s="79"/>
      <c r="H446" s="79">
        <v>0</v>
      </c>
      <c r="I446" s="79">
        <f t="shared" si="21"/>
        <v>0</v>
      </c>
      <c r="J446" s="79"/>
      <c r="K446" s="71">
        <v>0</v>
      </c>
      <c r="L446" s="105">
        <f t="shared" si="22"/>
        <v>0</v>
      </c>
      <c r="M446" s="95"/>
      <c r="N446" s="95"/>
      <c r="O446" s="95"/>
    </row>
    <row r="447" spans="2:15" ht="22.5" customHeight="1" hidden="1">
      <c r="B447" s="131" t="s">
        <v>876</v>
      </c>
      <c r="C447" s="77" t="s">
        <v>648</v>
      </c>
      <c r="D447" s="78" t="s">
        <v>644</v>
      </c>
      <c r="E447" s="78" t="s">
        <v>760</v>
      </c>
      <c r="F447" s="77"/>
      <c r="G447" s="79">
        <f>G448+G450</f>
        <v>0</v>
      </c>
      <c r="H447" s="79">
        <f>H448+H450</f>
        <v>0</v>
      </c>
      <c r="I447" s="79">
        <f t="shared" si="21"/>
        <v>0</v>
      </c>
      <c r="J447" s="79">
        <f>J448+J450</f>
        <v>0</v>
      </c>
      <c r="K447" s="79">
        <f>K448+K449</f>
        <v>0</v>
      </c>
      <c r="L447" s="105">
        <f t="shared" si="22"/>
        <v>0</v>
      </c>
      <c r="M447" s="95"/>
      <c r="N447" s="95"/>
      <c r="O447" s="95"/>
    </row>
    <row r="448" spans="2:15" ht="12.75" customHeight="1" hidden="1">
      <c r="B448" s="131" t="s">
        <v>877</v>
      </c>
      <c r="C448" s="77" t="s">
        <v>648</v>
      </c>
      <c r="D448" s="78" t="s">
        <v>644</v>
      </c>
      <c r="E448" s="78" t="s">
        <v>722</v>
      </c>
      <c r="F448" s="77"/>
      <c r="G448" s="79">
        <f>G449</f>
        <v>0</v>
      </c>
      <c r="H448" s="79">
        <f>H449</f>
        <v>0</v>
      </c>
      <c r="I448" s="79">
        <f t="shared" si="21"/>
        <v>0</v>
      </c>
      <c r="J448" s="79">
        <f>J449</f>
        <v>0</v>
      </c>
      <c r="K448" s="71">
        <v>0</v>
      </c>
      <c r="L448" s="105">
        <f t="shared" si="22"/>
        <v>0</v>
      </c>
      <c r="M448" s="95"/>
      <c r="N448" s="95"/>
      <c r="O448" s="95"/>
    </row>
    <row r="449" spans="2:15" ht="25.5" hidden="1">
      <c r="B449" s="131" t="s">
        <v>766</v>
      </c>
      <c r="C449" s="77" t="s">
        <v>648</v>
      </c>
      <c r="D449" s="78" t="s">
        <v>644</v>
      </c>
      <c r="E449" s="78" t="s">
        <v>722</v>
      </c>
      <c r="F449" s="77">
        <v>200</v>
      </c>
      <c r="G449" s="79"/>
      <c r="H449" s="79">
        <v>0</v>
      </c>
      <c r="I449" s="79">
        <f t="shared" si="21"/>
        <v>0</v>
      </c>
      <c r="J449" s="79"/>
      <c r="K449" s="71">
        <v>0</v>
      </c>
      <c r="L449" s="105">
        <f t="shared" si="22"/>
        <v>0</v>
      </c>
      <c r="M449" s="95"/>
      <c r="N449" s="95"/>
      <c r="O449" s="95"/>
    </row>
    <row r="450" spans="2:15" ht="25.5" hidden="1">
      <c r="B450" s="131" t="s">
        <v>991</v>
      </c>
      <c r="C450" s="77" t="s">
        <v>648</v>
      </c>
      <c r="D450" s="78" t="s">
        <v>644</v>
      </c>
      <c r="E450" s="78" t="s">
        <v>985</v>
      </c>
      <c r="F450" s="77"/>
      <c r="G450" s="79">
        <f>G451</f>
        <v>0</v>
      </c>
      <c r="H450" s="79">
        <f>H451</f>
        <v>0</v>
      </c>
      <c r="I450" s="79">
        <f t="shared" si="21"/>
        <v>0</v>
      </c>
      <c r="J450" s="79">
        <f>J451</f>
        <v>0</v>
      </c>
      <c r="K450" s="79">
        <f>K451</f>
        <v>0</v>
      </c>
      <c r="L450" s="105">
        <f t="shared" si="22"/>
        <v>0</v>
      </c>
      <c r="M450" s="95"/>
      <c r="N450" s="95"/>
      <c r="O450" s="95"/>
    </row>
    <row r="451" spans="2:15" ht="25.5" hidden="1">
      <c r="B451" s="131" t="s">
        <v>766</v>
      </c>
      <c r="C451" s="77" t="s">
        <v>648</v>
      </c>
      <c r="D451" s="78" t="s">
        <v>644</v>
      </c>
      <c r="E451" s="78" t="s">
        <v>985</v>
      </c>
      <c r="F451" s="77" t="s">
        <v>971</v>
      </c>
      <c r="G451" s="79"/>
      <c r="H451" s="79">
        <v>0</v>
      </c>
      <c r="I451" s="79">
        <f t="shared" si="21"/>
        <v>0</v>
      </c>
      <c r="J451" s="79"/>
      <c r="K451" s="79">
        <f>K452+K453+K454</f>
        <v>0</v>
      </c>
      <c r="L451" s="105">
        <f t="shared" si="22"/>
        <v>0</v>
      </c>
      <c r="M451" s="95"/>
      <c r="N451" s="95"/>
      <c r="O451" s="95"/>
    </row>
    <row r="452" spans="2:15" ht="25.5">
      <c r="B452" s="131" t="s">
        <v>878</v>
      </c>
      <c r="C452" s="77" t="s">
        <v>648</v>
      </c>
      <c r="D452" s="78" t="s">
        <v>644</v>
      </c>
      <c r="E452" s="78" t="s">
        <v>776</v>
      </c>
      <c r="F452" s="77"/>
      <c r="G452" s="79">
        <f>G453+G466+G464+G459</f>
        <v>19493363</v>
      </c>
      <c r="H452" s="79">
        <f>H453+H466+H464+H459</f>
        <v>-19493363</v>
      </c>
      <c r="I452" s="79">
        <f t="shared" si="21"/>
        <v>0</v>
      </c>
      <c r="J452" s="79">
        <f>J453+J466+J464+J459</f>
        <v>0</v>
      </c>
      <c r="K452" s="71">
        <v>0</v>
      </c>
      <c r="L452" s="105">
        <f t="shared" si="22"/>
        <v>0</v>
      </c>
      <c r="M452" s="95"/>
      <c r="N452" s="95"/>
      <c r="O452" s="95"/>
    </row>
    <row r="453" spans="2:15" ht="12.75">
      <c r="B453" s="131" t="s">
        <v>881</v>
      </c>
      <c r="C453" s="77" t="s">
        <v>648</v>
      </c>
      <c r="D453" s="78" t="s">
        <v>644</v>
      </c>
      <c r="E453" s="78" t="s">
        <v>880</v>
      </c>
      <c r="F453" s="77"/>
      <c r="G453" s="79">
        <f>G454+G456</f>
        <v>8407500</v>
      </c>
      <c r="H453" s="79">
        <f>H454+H456</f>
        <v>-8407500</v>
      </c>
      <c r="I453" s="79">
        <f t="shared" si="21"/>
        <v>0</v>
      </c>
      <c r="J453" s="79">
        <f>J454+J456</f>
        <v>0</v>
      </c>
      <c r="K453" s="71">
        <v>0</v>
      </c>
      <c r="L453" s="105">
        <f t="shared" si="22"/>
        <v>0</v>
      </c>
      <c r="M453" s="95"/>
      <c r="N453" s="95"/>
      <c r="O453" s="95"/>
    </row>
    <row r="454" spans="2:15" ht="25.5">
      <c r="B454" s="131" t="s">
        <v>879</v>
      </c>
      <c r="C454" s="77" t="s">
        <v>648</v>
      </c>
      <c r="D454" s="78" t="s">
        <v>644</v>
      </c>
      <c r="E454" s="78" t="s">
        <v>780</v>
      </c>
      <c r="F454" s="77"/>
      <c r="G454" s="79">
        <f>G455</f>
        <v>1186000</v>
      </c>
      <c r="H454" s="79">
        <f>H455</f>
        <v>-1186000</v>
      </c>
      <c r="I454" s="79">
        <f t="shared" si="21"/>
        <v>0</v>
      </c>
      <c r="J454" s="79">
        <f>J455</f>
        <v>0</v>
      </c>
      <c r="K454" s="71">
        <v>0</v>
      </c>
      <c r="L454" s="105">
        <f t="shared" si="22"/>
        <v>0</v>
      </c>
      <c r="M454" s="95"/>
      <c r="N454" s="95"/>
      <c r="O454" s="95"/>
    </row>
    <row r="455" spans="2:15" ht="42" customHeight="1">
      <c r="B455" s="131" t="s">
        <v>765</v>
      </c>
      <c r="C455" s="77" t="s">
        <v>648</v>
      </c>
      <c r="D455" s="78" t="s">
        <v>644</v>
      </c>
      <c r="E455" s="78" t="s">
        <v>780</v>
      </c>
      <c r="F455" s="77">
        <v>100</v>
      </c>
      <c r="G455" s="79">
        <v>1186000</v>
      </c>
      <c r="H455" s="79">
        <v>-1186000</v>
      </c>
      <c r="I455" s="79">
        <f t="shared" si="21"/>
        <v>0</v>
      </c>
      <c r="J455" s="79">
        <v>0</v>
      </c>
      <c r="K455" s="79">
        <f>K456</f>
        <v>0</v>
      </c>
      <c r="L455" s="105">
        <f t="shared" si="22"/>
        <v>0</v>
      </c>
      <c r="M455" s="95"/>
      <c r="N455" s="95"/>
      <c r="O455" s="95"/>
    </row>
    <row r="456" spans="2:15" ht="25.5">
      <c r="B456" s="131" t="s">
        <v>1107</v>
      </c>
      <c r="C456" s="77" t="s">
        <v>648</v>
      </c>
      <c r="D456" s="78" t="s">
        <v>644</v>
      </c>
      <c r="E456" s="78" t="s">
        <v>779</v>
      </c>
      <c r="F456" s="77"/>
      <c r="G456" s="79">
        <f>G457+G458</f>
        <v>7221500</v>
      </c>
      <c r="H456" s="79">
        <f>H457+H458</f>
        <v>-7221500</v>
      </c>
      <c r="I456" s="79">
        <f t="shared" si="21"/>
        <v>0</v>
      </c>
      <c r="J456" s="79">
        <f>J457+J458</f>
        <v>0</v>
      </c>
      <c r="K456" s="71">
        <v>0</v>
      </c>
      <c r="L456" s="105">
        <f t="shared" si="22"/>
        <v>0</v>
      </c>
      <c r="M456" s="95"/>
      <c r="N456" s="95"/>
      <c r="O456" s="95"/>
    </row>
    <row r="457" spans="2:15" ht="51">
      <c r="B457" s="131" t="s">
        <v>765</v>
      </c>
      <c r="C457" s="77" t="s">
        <v>648</v>
      </c>
      <c r="D457" s="78" t="s">
        <v>644</v>
      </c>
      <c r="E457" s="78" t="s">
        <v>779</v>
      </c>
      <c r="F457" s="77">
        <v>100</v>
      </c>
      <c r="G457" s="79">
        <f>6901500+320000</f>
        <v>7221500</v>
      </c>
      <c r="H457" s="79">
        <v>-7221500</v>
      </c>
      <c r="I457" s="79">
        <f t="shared" si="21"/>
        <v>0</v>
      </c>
      <c r="J457" s="79">
        <v>0</v>
      </c>
      <c r="K457" s="79">
        <f>K458</f>
        <v>0</v>
      </c>
      <c r="L457" s="105">
        <f t="shared" si="22"/>
        <v>0</v>
      </c>
      <c r="M457" s="95"/>
      <c r="N457" s="95"/>
      <c r="O457" s="95"/>
    </row>
    <row r="458" spans="2:15" ht="25.5" hidden="1">
      <c r="B458" s="131" t="s">
        <v>766</v>
      </c>
      <c r="C458" s="77" t="s">
        <v>648</v>
      </c>
      <c r="D458" s="78" t="s">
        <v>644</v>
      </c>
      <c r="E458" s="78" t="s">
        <v>779</v>
      </c>
      <c r="F458" s="77" t="s">
        <v>971</v>
      </c>
      <c r="G458" s="79"/>
      <c r="H458" s="79">
        <v>0</v>
      </c>
      <c r="I458" s="79">
        <f t="shared" si="21"/>
        <v>0</v>
      </c>
      <c r="J458" s="79"/>
      <c r="K458" s="79">
        <f>K459+K460+K461</f>
        <v>0</v>
      </c>
      <c r="L458" s="105">
        <f t="shared" si="22"/>
        <v>0</v>
      </c>
      <c r="M458" s="95"/>
      <c r="N458" s="95"/>
      <c r="O458" s="95"/>
    </row>
    <row r="459" spans="2:15" ht="38.25">
      <c r="B459" s="131" t="s">
        <v>1120</v>
      </c>
      <c r="C459" s="77" t="s">
        <v>648</v>
      </c>
      <c r="D459" s="78" t="s">
        <v>644</v>
      </c>
      <c r="E459" s="78" t="s">
        <v>1109</v>
      </c>
      <c r="F459" s="77"/>
      <c r="G459" s="79">
        <f>G460</f>
        <v>4498860</v>
      </c>
      <c r="H459" s="79">
        <f>H460</f>
        <v>-4498860</v>
      </c>
      <c r="I459" s="79">
        <f t="shared" si="21"/>
        <v>0</v>
      </c>
      <c r="J459" s="79">
        <f>J460</f>
        <v>0</v>
      </c>
      <c r="K459" s="71">
        <v>0</v>
      </c>
      <c r="L459" s="105">
        <f t="shared" si="22"/>
        <v>0</v>
      </c>
      <c r="M459" s="95"/>
      <c r="N459" s="95"/>
      <c r="O459" s="95"/>
    </row>
    <row r="460" spans="2:15" ht="38.25">
      <c r="B460" s="131" t="s">
        <v>1090</v>
      </c>
      <c r="C460" s="77" t="s">
        <v>648</v>
      </c>
      <c r="D460" s="78" t="s">
        <v>644</v>
      </c>
      <c r="E460" s="78" t="s">
        <v>1108</v>
      </c>
      <c r="F460" s="77"/>
      <c r="G460" s="79">
        <f>G461+G462+G463</f>
        <v>4498860</v>
      </c>
      <c r="H460" s="79">
        <f>H461+H462+H463</f>
        <v>-4498860</v>
      </c>
      <c r="I460" s="79">
        <f t="shared" si="21"/>
        <v>0</v>
      </c>
      <c r="J460" s="79">
        <f>J461+J462+J463</f>
        <v>0</v>
      </c>
      <c r="K460" s="71">
        <v>0</v>
      </c>
      <c r="L460" s="105">
        <f t="shared" si="22"/>
        <v>0</v>
      </c>
      <c r="M460" s="95"/>
      <c r="N460" s="95"/>
      <c r="O460" s="95"/>
    </row>
    <row r="461" spans="2:15" ht="51">
      <c r="B461" s="131" t="s">
        <v>765</v>
      </c>
      <c r="C461" s="77" t="s">
        <v>648</v>
      </c>
      <c r="D461" s="78" t="s">
        <v>644</v>
      </c>
      <c r="E461" s="78" t="s">
        <v>1108</v>
      </c>
      <c r="F461" s="77" t="s">
        <v>733</v>
      </c>
      <c r="G461" s="79">
        <f>3674280+816580</f>
        <v>4490860</v>
      </c>
      <c r="H461" s="79">
        <v>-4490860</v>
      </c>
      <c r="I461" s="79">
        <f t="shared" si="21"/>
        <v>0</v>
      </c>
      <c r="J461" s="79">
        <v>0</v>
      </c>
      <c r="K461" s="71">
        <v>0</v>
      </c>
      <c r="L461" s="105">
        <f t="shared" si="22"/>
        <v>0</v>
      </c>
      <c r="M461" s="95"/>
      <c r="N461" s="95"/>
      <c r="O461" s="95"/>
    </row>
    <row r="462" spans="2:15" s="64" customFormat="1" ht="25.5" hidden="1">
      <c r="B462" s="131" t="s">
        <v>766</v>
      </c>
      <c r="C462" s="77" t="s">
        <v>648</v>
      </c>
      <c r="D462" s="78" t="s">
        <v>644</v>
      </c>
      <c r="E462" s="78" t="s">
        <v>1108</v>
      </c>
      <c r="F462" s="77" t="s">
        <v>971</v>
      </c>
      <c r="G462" s="79"/>
      <c r="H462" s="79">
        <v>0</v>
      </c>
      <c r="I462" s="79">
        <f t="shared" si="21"/>
        <v>0</v>
      </c>
      <c r="J462" s="79"/>
      <c r="K462" s="71">
        <f>K463</f>
        <v>0</v>
      </c>
      <c r="L462" s="105">
        <f t="shared" si="22"/>
        <v>0</v>
      </c>
      <c r="M462" s="95"/>
      <c r="N462" s="95"/>
      <c r="O462" s="95"/>
    </row>
    <row r="463" spans="2:15" s="64" customFormat="1" ht="12.75">
      <c r="B463" s="131" t="s">
        <v>769</v>
      </c>
      <c r="C463" s="77" t="s">
        <v>648</v>
      </c>
      <c r="D463" s="78" t="s">
        <v>644</v>
      </c>
      <c r="E463" s="78" t="s">
        <v>1108</v>
      </c>
      <c r="F463" s="77" t="s">
        <v>967</v>
      </c>
      <c r="G463" s="79">
        <v>8000</v>
      </c>
      <c r="H463" s="79">
        <v>-8000</v>
      </c>
      <c r="I463" s="79">
        <f t="shared" si="21"/>
        <v>0</v>
      </c>
      <c r="J463" s="79">
        <v>0</v>
      </c>
      <c r="K463" s="71">
        <f>K464</f>
        <v>0</v>
      </c>
      <c r="L463" s="105">
        <f t="shared" si="22"/>
        <v>0</v>
      </c>
      <c r="M463" s="95"/>
      <c r="N463" s="95"/>
      <c r="O463" s="95"/>
    </row>
    <row r="464" spans="2:15" s="64" customFormat="1" ht="38.25">
      <c r="B464" s="131" t="s">
        <v>1090</v>
      </c>
      <c r="C464" s="77" t="s">
        <v>648</v>
      </c>
      <c r="D464" s="78" t="s">
        <v>644</v>
      </c>
      <c r="E464" s="78" t="s">
        <v>1089</v>
      </c>
      <c r="F464" s="77"/>
      <c r="G464" s="79">
        <f>G465</f>
        <v>6587003</v>
      </c>
      <c r="H464" s="79">
        <f>H465</f>
        <v>-6587003</v>
      </c>
      <c r="I464" s="79">
        <f t="shared" si="21"/>
        <v>0</v>
      </c>
      <c r="J464" s="79">
        <f>J465</f>
        <v>0</v>
      </c>
      <c r="K464" s="71">
        <v>0</v>
      </c>
      <c r="L464" s="105">
        <f t="shared" si="22"/>
        <v>0</v>
      </c>
      <c r="M464" s="95"/>
      <c r="N464" s="95"/>
      <c r="O464" s="95"/>
    </row>
    <row r="465" spans="2:15" ht="51">
      <c r="B465" s="131" t="s">
        <v>765</v>
      </c>
      <c r="C465" s="77" t="s">
        <v>648</v>
      </c>
      <c r="D465" s="78" t="s">
        <v>644</v>
      </c>
      <c r="E465" s="78" t="s">
        <v>1089</v>
      </c>
      <c r="F465" s="77" t="s">
        <v>733</v>
      </c>
      <c r="G465" s="79">
        <f>4537210+2049793</f>
        <v>6587003</v>
      </c>
      <c r="H465" s="79">
        <v>-6587003</v>
      </c>
      <c r="I465" s="79">
        <f aca="true" t="shared" si="25" ref="I465:I496">G465+H465</f>
        <v>0</v>
      </c>
      <c r="J465" s="79">
        <v>0</v>
      </c>
      <c r="K465" s="71" t="e">
        <f>K466+#REF!</f>
        <v>#REF!</v>
      </c>
      <c r="L465" s="71" t="e">
        <f t="shared" si="22"/>
        <v>#REF!</v>
      </c>
      <c r="M465" s="95"/>
      <c r="N465" s="95"/>
      <c r="O465" s="95"/>
    </row>
    <row r="466" spans="2:15" ht="25.5" hidden="1">
      <c r="B466" s="131" t="s">
        <v>882</v>
      </c>
      <c r="C466" s="77" t="s">
        <v>648</v>
      </c>
      <c r="D466" s="78" t="s">
        <v>644</v>
      </c>
      <c r="E466" s="78" t="s">
        <v>777</v>
      </c>
      <c r="F466" s="77"/>
      <c r="G466" s="79">
        <f>G467</f>
        <v>0</v>
      </c>
      <c r="H466" s="79">
        <f>H467</f>
        <v>0</v>
      </c>
      <c r="I466" s="79">
        <f t="shared" si="25"/>
        <v>0</v>
      </c>
      <c r="J466" s="79">
        <f>J467</f>
        <v>0</v>
      </c>
      <c r="K466" s="71" t="e">
        <f>K467+K474+K477+#REF!+#REF!+#REF!</f>
        <v>#REF!</v>
      </c>
      <c r="L466" s="71" t="e">
        <f t="shared" si="22"/>
        <v>#REF!</v>
      </c>
      <c r="M466" s="95"/>
      <c r="N466" s="95"/>
      <c r="O466" s="95"/>
    </row>
    <row r="467" spans="2:15" ht="25.5" hidden="1">
      <c r="B467" s="131" t="s">
        <v>883</v>
      </c>
      <c r="C467" s="77" t="s">
        <v>648</v>
      </c>
      <c r="D467" s="78" t="s">
        <v>644</v>
      </c>
      <c r="E467" s="78" t="s">
        <v>778</v>
      </c>
      <c r="F467" s="77"/>
      <c r="G467" s="79">
        <f>G468+G469+G470</f>
        <v>0</v>
      </c>
      <c r="H467" s="79">
        <f>H468+H469+H470</f>
        <v>0</v>
      </c>
      <c r="I467" s="79">
        <f t="shared" si="25"/>
        <v>0</v>
      </c>
      <c r="J467" s="79">
        <f>J468+J469+J470</f>
        <v>0</v>
      </c>
      <c r="K467" s="71">
        <f>K468+K470+K472</f>
        <v>0</v>
      </c>
      <c r="L467" s="105">
        <f t="shared" si="22"/>
        <v>0</v>
      </c>
      <c r="M467" s="95"/>
      <c r="N467" s="95"/>
      <c r="O467" s="95"/>
    </row>
    <row r="468" spans="2:15" ht="51" hidden="1">
      <c r="B468" s="131" t="s">
        <v>765</v>
      </c>
      <c r="C468" s="77" t="s">
        <v>648</v>
      </c>
      <c r="D468" s="78" t="s">
        <v>644</v>
      </c>
      <c r="E468" s="78" t="s">
        <v>778</v>
      </c>
      <c r="F468" s="77">
        <v>100</v>
      </c>
      <c r="G468" s="79">
        <v>0</v>
      </c>
      <c r="H468" s="79">
        <v>0</v>
      </c>
      <c r="I468" s="79">
        <f t="shared" si="25"/>
        <v>0</v>
      </c>
      <c r="J468" s="79"/>
      <c r="K468" s="71">
        <f>K469</f>
        <v>0</v>
      </c>
      <c r="L468" s="105">
        <f t="shared" si="22"/>
        <v>0</v>
      </c>
      <c r="M468" s="95"/>
      <c r="N468" s="95"/>
      <c r="O468" s="95"/>
    </row>
    <row r="469" spans="2:15" ht="25.5" hidden="1">
      <c r="B469" s="131" t="s">
        <v>766</v>
      </c>
      <c r="C469" s="77" t="s">
        <v>648</v>
      </c>
      <c r="D469" s="78" t="s">
        <v>644</v>
      </c>
      <c r="E469" s="78" t="s">
        <v>778</v>
      </c>
      <c r="F469" s="77">
        <v>200</v>
      </c>
      <c r="G469" s="79">
        <v>0</v>
      </c>
      <c r="H469" s="79">
        <v>0</v>
      </c>
      <c r="I469" s="79">
        <f t="shared" si="25"/>
        <v>0</v>
      </c>
      <c r="J469" s="79"/>
      <c r="K469" s="71">
        <v>0</v>
      </c>
      <c r="L469" s="105">
        <f t="shared" si="22"/>
        <v>0</v>
      </c>
      <c r="M469" s="95"/>
      <c r="N469" s="95"/>
      <c r="O469" s="95"/>
    </row>
    <row r="470" spans="2:15" s="64" customFormat="1" ht="12.75" customHeight="1" hidden="1">
      <c r="B470" s="131" t="s">
        <v>769</v>
      </c>
      <c r="C470" s="77" t="s">
        <v>648</v>
      </c>
      <c r="D470" s="78" t="s">
        <v>644</v>
      </c>
      <c r="E470" s="78" t="s">
        <v>778</v>
      </c>
      <c r="F470" s="77">
        <v>800</v>
      </c>
      <c r="G470" s="79">
        <v>0</v>
      </c>
      <c r="H470" s="79"/>
      <c r="I470" s="79">
        <f t="shared" si="25"/>
        <v>0</v>
      </c>
      <c r="J470" s="79"/>
      <c r="K470" s="71">
        <f>K471</f>
        <v>0</v>
      </c>
      <c r="L470" s="105">
        <f t="shared" si="22"/>
        <v>0</v>
      </c>
      <c r="M470" s="95"/>
      <c r="N470" s="95"/>
      <c r="O470" s="95"/>
    </row>
    <row r="471" spans="2:15" s="64" customFormat="1" ht="36" customHeight="1" hidden="1">
      <c r="B471" s="131" t="s">
        <v>989</v>
      </c>
      <c r="C471" s="77" t="s">
        <v>648</v>
      </c>
      <c r="D471" s="78" t="s">
        <v>644</v>
      </c>
      <c r="E471" s="78" t="s">
        <v>988</v>
      </c>
      <c r="F471" s="77"/>
      <c r="G471" s="79">
        <f>G472</f>
        <v>0</v>
      </c>
      <c r="H471" s="79">
        <f>H472</f>
        <v>0</v>
      </c>
      <c r="I471" s="79">
        <f t="shared" si="25"/>
        <v>0</v>
      </c>
      <c r="J471" s="79">
        <f>J472</f>
        <v>0</v>
      </c>
      <c r="K471" s="71">
        <v>0</v>
      </c>
      <c r="L471" s="105">
        <f t="shared" si="22"/>
        <v>0</v>
      </c>
      <c r="M471" s="95"/>
      <c r="N471" s="95"/>
      <c r="O471" s="95"/>
    </row>
    <row r="472" spans="2:15" s="64" customFormat="1" ht="24" customHeight="1" hidden="1">
      <c r="B472" s="131" t="s">
        <v>990</v>
      </c>
      <c r="C472" s="77" t="s">
        <v>648</v>
      </c>
      <c r="D472" s="78" t="s">
        <v>644</v>
      </c>
      <c r="E472" s="78" t="s">
        <v>987</v>
      </c>
      <c r="F472" s="77"/>
      <c r="G472" s="79">
        <f>G473</f>
        <v>0</v>
      </c>
      <c r="H472" s="79">
        <f>H473</f>
        <v>0</v>
      </c>
      <c r="I472" s="79">
        <f t="shared" si="25"/>
        <v>0</v>
      </c>
      <c r="J472" s="79">
        <f>J473</f>
        <v>0</v>
      </c>
      <c r="K472" s="71">
        <f>K473</f>
        <v>0</v>
      </c>
      <c r="L472" s="105">
        <f t="shared" si="22"/>
        <v>0</v>
      </c>
      <c r="M472" s="95"/>
      <c r="N472" s="95"/>
      <c r="O472" s="95"/>
    </row>
    <row r="473" spans="2:15" s="64" customFormat="1" ht="12.75" customHeight="1" hidden="1">
      <c r="B473" s="131" t="s">
        <v>766</v>
      </c>
      <c r="C473" s="77" t="s">
        <v>648</v>
      </c>
      <c r="D473" s="78" t="s">
        <v>644</v>
      </c>
      <c r="E473" s="78" t="s">
        <v>987</v>
      </c>
      <c r="F473" s="77" t="s">
        <v>971</v>
      </c>
      <c r="G473" s="79"/>
      <c r="H473" s="79"/>
      <c r="I473" s="79">
        <f t="shared" si="25"/>
        <v>0</v>
      </c>
      <c r="J473" s="79"/>
      <c r="K473" s="71">
        <v>0</v>
      </c>
      <c r="L473" s="105">
        <f t="shared" si="22"/>
        <v>0</v>
      </c>
      <c r="M473" s="95"/>
      <c r="N473" s="95"/>
      <c r="O473" s="95"/>
    </row>
    <row r="474" spans="2:15" ht="12.75" customHeight="1" hidden="1">
      <c r="B474" s="131" t="s">
        <v>1209</v>
      </c>
      <c r="C474" s="77" t="s">
        <v>648</v>
      </c>
      <c r="D474" s="78" t="s">
        <v>644</v>
      </c>
      <c r="E474" s="78" t="s">
        <v>1210</v>
      </c>
      <c r="F474" s="77"/>
      <c r="G474" s="79">
        <f>G475</f>
        <v>0</v>
      </c>
      <c r="H474" s="79">
        <f>H475</f>
        <v>15786050</v>
      </c>
      <c r="I474" s="79">
        <f t="shared" si="25"/>
        <v>15786050</v>
      </c>
      <c r="J474" s="79">
        <f>J475</f>
        <v>15786050</v>
      </c>
      <c r="K474" s="71">
        <f>K475</f>
        <v>0</v>
      </c>
      <c r="L474" s="105">
        <f t="shared" si="22"/>
        <v>15786050</v>
      </c>
      <c r="M474" s="95"/>
      <c r="N474" s="95"/>
      <c r="O474" s="95"/>
    </row>
    <row r="475" spans="2:15" ht="38.25">
      <c r="B475" s="131" t="s">
        <v>1255</v>
      </c>
      <c r="C475" s="77" t="s">
        <v>648</v>
      </c>
      <c r="D475" s="78" t="s">
        <v>644</v>
      </c>
      <c r="E475" s="78" t="s">
        <v>1256</v>
      </c>
      <c r="F475" s="77"/>
      <c r="G475" s="79">
        <f>G476+G481</f>
        <v>0</v>
      </c>
      <c r="H475" s="79">
        <f>H476+H481</f>
        <v>15786050</v>
      </c>
      <c r="I475" s="79">
        <f t="shared" si="25"/>
        <v>15786050</v>
      </c>
      <c r="J475" s="79">
        <f>J476+J481</f>
        <v>15786050</v>
      </c>
      <c r="K475" s="71">
        <f>K476</f>
        <v>0</v>
      </c>
      <c r="L475" s="105">
        <f aca="true" t="shared" si="26" ref="L475:L480">J475+K475</f>
        <v>15786050</v>
      </c>
      <c r="M475" s="95"/>
      <c r="N475" s="95"/>
      <c r="O475" s="95"/>
    </row>
    <row r="476" spans="2:15" ht="38.25">
      <c r="B476" s="131" t="s">
        <v>1257</v>
      </c>
      <c r="C476" s="77" t="s">
        <v>648</v>
      </c>
      <c r="D476" s="78" t="s">
        <v>644</v>
      </c>
      <c r="E476" s="78" t="s">
        <v>1258</v>
      </c>
      <c r="F476" s="77"/>
      <c r="G476" s="79">
        <f>G477+G479</f>
        <v>0</v>
      </c>
      <c r="H476" s="79">
        <f>H477+H479</f>
        <v>5862250</v>
      </c>
      <c r="I476" s="79">
        <f t="shared" si="25"/>
        <v>5862250</v>
      </c>
      <c r="J476" s="79">
        <f>J477+J479</f>
        <v>5862250</v>
      </c>
      <c r="K476" s="71">
        <v>0</v>
      </c>
      <c r="L476" s="105">
        <f t="shared" si="26"/>
        <v>5862250</v>
      </c>
      <c r="M476" s="95"/>
      <c r="N476" s="95"/>
      <c r="O476" s="95"/>
    </row>
    <row r="477" spans="2:15" ht="12.75" customHeight="1" hidden="1">
      <c r="B477" s="131" t="s">
        <v>879</v>
      </c>
      <c r="C477" s="77" t="s">
        <v>648</v>
      </c>
      <c r="D477" s="78" t="s">
        <v>644</v>
      </c>
      <c r="E477" s="78" t="s">
        <v>1404</v>
      </c>
      <c r="F477" s="77"/>
      <c r="G477" s="79">
        <f>G478</f>
        <v>0</v>
      </c>
      <c r="H477" s="79">
        <f>H478</f>
        <v>908150</v>
      </c>
      <c r="I477" s="79">
        <f t="shared" si="25"/>
        <v>908150</v>
      </c>
      <c r="J477" s="79">
        <f>J478</f>
        <v>908150</v>
      </c>
      <c r="K477" s="79" t="e">
        <f>K478+#REF!+#REF!+K480+#REF!+#REF!+#REF!</f>
        <v>#REF!</v>
      </c>
      <c r="L477" s="105" t="e">
        <f t="shared" si="26"/>
        <v>#REF!</v>
      </c>
      <c r="M477" s="95"/>
      <c r="N477" s="95"/>
      <c r="O477" s="95"/>
    </row>
    <row r="478" spans="2:15" ht="12.75" customHeight="1" hidden="1">
      <c r="B478" s="131" t="s">
        <v>765</v>
      </c>
      <c r="C478" s="77" t="s">
        <v>648</v>
      </c>
      <c r="D478" s="78" t="s">
        <v>644</v>
      </c>
      <c r="E478" s="78" t="s">
        <v>1404</v>
      </c>
      <c r="F478" s="77" t="s">
        <v>733</v>
      </c>
      <c r="G478" s="79">
        <v>0</v>
      </c>
      <c r="H478" s="79">
        <f>697500+210650</f>
        <v>908150</v>
      </c>
      <c r="I478" s="79">
        <f t="shared" si="25"/>
        <v>908150</v>
      </c>
      <c r="J478" s="79">
        <f>697500+210650</f>
        <v>908150</v>
      </c>
      <c r="K478" s="71">
        <f>K479</f>
        <v>0</v>
      </c>
      <c r="L478" s="105">
        <f t="shared" si="26"/>
        <v>908150</v>
      </c>
      <c r="M478" s="95"/>
      <c r="N478" s="95"/>
      <c r="O478" s="95"/>
    </row>
    <row r="479" spans="2:15" ht="12.75" customHeight="1" hidden="1">
      <c r="B479" s="131" t="s">
        <v>1107</v>
      </c>
      <c r="C479" s="77" t="s">
        <v>648</v>
      </c>
      <c r="D479" s="78" t="s">
        <v>644</v>
      </c>
      <c r="E479" s="78" t="s">
        <v>1405</v>
      </c>
      <c r="F479" s="77"/>
      <c r="G479" s="79">
        <f>G480</f>
        <v>0</v>
      </c>
      <c r="H479" s="79">
        <f>H480</f>
        <v>4954100</v>
      </c>
      <c r="I479" s="79">
        <f t="shared" si="25"/>
        <v>4954100</v>
      </c>
      <c r="J479" s="79">
        <f>J480</f>
        <v>4954100</v>
      </c>
      <c r="K479" s="71">
        <v>0</v>
      </c>
      <c r="L479" s="105">
        <f t="shared" si="26"/>
        <v>4954100</v>
      </c>
      <c r="M479" s="95"/>
      <c r="N479" s="95"/>
      <c r="O479" s="95"/>
    </row>
    <row r="480" spans="2:15" s="64" customFormat="1" ht="12.75" customHeight="1" hidden="1">
      <c r="B480" s="131" t="s">
        <v>765</v>
      </c>
      <c r="C480" s="77" t="s">
        <v>648</v>
      </c>
      <c r="D480" s="78" t="s">
        <v>644</v>
      </c>
      <c r="E480" s="78" t="s">
        <v>1405</v>
      </c>
      <c r="F480" s="77" t="s">
        <v>733</v>
      </c>
      <c r="G480" s="79">
        <v>0</v>
      </c>
      <c r="H480" s="79">
        <f>3805000+1149100</f>
        <v>4954100</v>
      </c>
      <c r="I480" s="79">
        <f t="shared" si="25"/>
        <v>4954100</v>
      </c>
      <c r="J480" s="79">
        <f>3805000+1149100</f>
        <v>4954100</v>
      </c>
      <c r="K480" s="71" t="e">
        <f>#REF!</f>
        <v>#REF!</v>
      </c>
      <c r="L480" s="105" t="e">
        <f t="shared" si="26"/>
        <v>#REF!</v>
      </c>
      <c r="M480" s="95"/>
      <c r="N480" s="95"/>
      <c r="O480" s="95"/>
    </row>
    <row r="481" spans="2:10" ht="38.25">
      <c r="B481" s="131" t="s">
        <v>1259</v>
      </c>
      <c r="C481" s="77" t="s">
        <v>648</v>
      </c>
      <c r="D481" s="78" t="s">
        <v>644</v>
      </c>
      <c r="E481" s="78" t="s">
        <v>1260</v>
      </c>
      <c r="F481" s="77"/>
      <c r="G481" s="79">
        <f>G482+G486</f>
        <v>0</v>
      </c>
      <c r="H481" s="79">
        <f>H482+H486</f>
        <v>9923800</v>
      </c>
      <c r="I481" s="79">
        <f t="shared" si="25"/>
        <v>9923800</v>
      </c>
      <c r="J481" s="79">
        <f>J482+J486</f>
        <v>9923800</v>
      </c>
    </row>
    <row r="482" spans="2:10" ht="38.25">
      <c r="B482" s="131" t="s">
        <v>1261</v>
      </c>
      <c r="C482" s="77" t="s">
        <v>648</v>
      </c>
      <c r="D482" s="78" t="s">
        <v>644</v>
      </c>
      <c r="E482" s="78" t="s">
        <v>1406</v>
      </c>
      <c r="F482" s="77"/>
      <c r="G482" s="79">
        <f>G483+G484+G485</f>
        <v>0</v>
      </c>
      <c r="H482" s="79">
        <f>H483+H484+H485</f>
        <v>4923800</v>
      </c>
      <c r="I482" s="79">
        <f t="shared" si="25"/>
        <v>4923800</v>
      </c>
      <c r="J482" s="79">
        <f>J483+J484+J485</f>
        <v>4923800</v>
      </c>
    </row>
    <row r="483" spans="2:10" ht="51">
      <c r="B483" s="131" t="s">
        <v>765</v>
      </c>
      <c r="C483" s="77" t="s">
        <v>648</v>
      </c>
      <c r="D483" s="78" t="s">
        <v>644</v>
      </c>
      <c r="E483" s="78" t="s">
        <v>1406</v>
      </c>
      <c r="F483" s="77" t="s">
        <v>733</v>
      </c>
      <c r="G483" s="79">
        <v>0</v>
      </c>
      <c r="H483" s="79">
        <f>3781700+1142100</f>
        <v>4923800</v>
      </c>
      <c r="I483" s="79">
        <f t="shared" si="25"/>
        <v>4923800</v>
      </c>
      <c r="J483" s="79">
        <f>3781700+1142100</f>
        <v>4923800</v>
      </c>
    </row>
    <row r="484" spans="2:10" ht="24" hidden="1">
      <c r="B484" s="88" t="s">
        <v>766</v>
      </c>
      <c r="C484" s="77" t="s">
        <v>648</v>
      </c>
      <c r="D484" s="78" t="s">
        <v>644</v>
      </c>
      <c r="E484" s="78" t="s">
        <v>1406</v>
      </c>
      <c r="F484" s="77" t="s">
        <v>971</v>
      </c>
      <c r="G484" s="79">
        <v>0</v>
      </c>
      <c r="H484" s="79">
        <v>0</v>
      </c>
      <c r="I484" s="79">
        <f t="shared" si="25"/>
        <v>0</v>
      </c>
      <c r="J484" s="79">
        <v>0</v>
      </c>
    </row>
    <row r="485" spans="2:10" ht="12.75" hidden="1">
      <c r="B485" s="88" t="s">
        <v>769</v>
      </c>
      <c r="C485" s="77" t="s">
        <v>648</v>
      </c>
      <c r="D485" s="78" t="s">
        <v>644</v>
      </c>
      <c r="E485" s="78" t="s">
        <v>1406</v>
      </c>
      <c r="F485" s="77" t="s">
        <v>967</v>
      </c>
      <c r="G485" s="79">
        <v>0</v>
      </c>
      <c r="H485" s="79">
        <v>0</v>
      </c>
      <c r="I485" s="79">
        <f t="shared" si="25"/>
        <v>0</v>
      </c>
      <c r="J485" s="79">
        <v>0</v>
      </c>
    </row>
    <row r="486" spans="2:10" ht="38.25">
      <c r="B486" s="131" t="s">
        <v>1261</v>
      </c>
      <c r="C486" s="77" t="s">
        <v>648</v>
      </c>
      <c r="D486" s="78" t="s">
        <v>644</v>
      </c>
      <c r="E486" s="78" t="s">
        <v>1407</v>
      </c>
      <c r="F486" s="77"/>
      <c r="G486" s="79">
        <f>G487</f>
        <v>0</v>
      </c>
      <c r="H486" s="79">
        <f>H487</f>
        <v>5000000</v>
      </c>
      <c r="I486" s="79">
        <f t="shared" si="25"/>
        <v>5000000</v>
      </c>
      <c r="J486" s="79">
        <f>J487</f>
        <v>5000000</v>
      </c>
    </row>
    <row r="487" spans="2:10" ht="51">
      <c r="B487" s="131" t="s">
        <v>765</v>
      </c>
      <c r="C487" s="77" t="s">
        <v>648</v>
      </c>
      <c r="D487" s="78" t="s">
        <v>644</v>
      </c>
      <c r="E487" s="78" t="s">
        <v>1407</v>
      </c>
      <c r="F487" s="77" t="s">
        <v>733</v>
      </c>
      <c r="G487" s="79">
        <v>0</v>
      </c>
      <c r="H487" s="79">
        <f>3840246+1159754</f>
        <v>5000000</v>
      </c>
      <c r="I487" s="79">
        <f t="shared" si="25"/>
        <v>5000000</v>
      </c>
      <c r="J487" s="79">
        <f>3840246+1159754</f>
        <v>5000000</v>
      </c>
    </row>
    <row r="488" spans="2:10" ht="12.75">
      <c r="B488" s="130" t="s">
        <v>957</v>
      </c>
      <c r="C488" s="117" t="s">
        <v>649</v>
      </c>
      <c r="D488" s="128"/>
      <c r="E488" s="128"/>
      <c r="F488" s="117"/>
      <c r="G488" s="129">
        <f>G489+G513</f>
        <v>33271859</v>
      </c>
      <c r="H488" s="129">
        <f>H489+H513</f>
        <v>16891241</v>
      </c>
      <c r="I488" s="129">
        <f t="shared" si="25"/>
        <v>50163100</v>
      </c>
      <c r="J488" s="129">
        <f>J489+J513</f>
        <v>50163100</v>
      </c>
    </row>
    <row r="489" spans="2:10" ht="12.75">
      <c r="B489" s="130" t="s">
        <v>523</v>
      </c>
      <c r="C489" s="117" t="s">
        <v>649</v>
      </c>
      <c r="D489" s="128" t="s">
        <v>637</v>
      </c>
      <c r="E489" s="128"/>
      <c r="F489" s="117"/>
      <c r="G489" s="129">
        <f>G490+G493+G496+G499</f>
        <v>28813401</v>
      </c>
      <c r="H489" s="129">
        <f>H490+H493+H496+H499</f>
        <v>15113399</v>
      </c>
      <c r="I489" s="129">
        <f t="shared" si="25"/>
        <v>43926800</v>
      </c>
      <c r="J489" s="129">
        <f>J490+J493+J496+J499</f>
        <v>43926800</v>
      </c>
    </row>
    <row r="490" spans="2:10" ht="25.5">
      <c r="B490" s="131" t="s">
        <v>832</v>
      </c>
      <c r="C490" s="77" t="s">
        <v>649</v>
      </c>
      <c r="D490" s="78" t="s">
        <v>637</v>
      </c>
      <c r="E490" s="78" t="s">
        <v>753</v>
      </c>
      <c r="F490" s="77"/>
      <c r="G490" s="79">
        <f>G491</f>
        <v>19808301</v>
      </c>
      <c r="H490" s="79">
        <f>H491</f>
        <v>-19808301</v>
      </c>
      <c r="I490" s="79">
        <f t="shared" si="25"/>
        <v>0</v>
      </c>
      <c r="J490" s="79">
        <f>J491</f>
        <v>0</v>
      </c>
    </row>
    <row r="491" spans="2:10" ht="25.5">
      <c r="B491" s="131" t="s">
        <v>833</v>
      </c>
      <c r="C491" s="77" t="s">
        <v>649</v>
      </c>
      <c r="D491" s="78" t="s">
        <v>637</v>
      </c>
      <c r="E491" s="78" t="s">
        <v>708</v>
      </c>
      <c r="F491" s="77"/>
      <c r="G491" s="79">
        <f>G492</f>
        <v>19808301</v>
      </c>
      <c r="H491" s="79">
        <f>H492</f>
        <v>-19808301</v>
      </c>
      <c r="I491" s="79">
        <f t="shared" si="25"/>
        <v>0</v>
      </c>
      <c r="J491" s="79">
        <f>J492</f>
        <v>0</v>
      </c>
    </row>
    <row r="492" spans="2:10" ht="25.5">
      <c r="B492" s="131" t="s">
        <v>767</v>
      </c>
      <c r="C492" s="77" t="s">
        <v>649</v>
      </c>
      <c r="D492" s="78" t="s">
        <v>637</v>
      </c>
      <c r="E492" s="78" t="s">
        <v>708</v>
      </c>
      <c r="F492" s="77">
        <v>600</v>
      </c>
      <c r="G492" s="79">
        <v>19808301</v>
      </c>
      <c r="H492" s="79">
        <v>-19808301</v>
      </c>
      <c r="I492" s="79">
        <f t="shared" si="25"/>
        <v>0</v>
      </c>
      <c r="J492" s="79">
        <v>0</v>
      </c>
    </row>
    <row r="493" spans="2:10" ht="25.5">
      <c r="B493" s="131" t="s">
        <v>834</v>
      </c>
      <c r="C493" s="77" t="s">
        <v>649</v>
      </c>
      <c r="D493" s="78" t="s">
        <v>637</v>
      </c>
      <c r="E493" s="78" t="s">
        <v>754</v>
      </c>
      <c r="F493" s="77"/>
      <c r="G493" s="79">
        <f>G494</f>
        <v>520280</v>
      </c>
      <c r="H493" s="79">
        <f>H494</f>
        <v>-520280</v>
      </c>
      <c r="I493" s="79">
        <f t="shared" si="25"/>
        <v>0</v>
      </c>
      <c r="J493" s="79">
        <f>J494</f>
        <v>0</v>
      </c>
    </row>
    <row r="494" spans="2:10" ht="25.5">
      <c r="B494" s="131" t="s">
        <v>835</v>
      </c>
      <c r="C494" s="77" t="s">
        <v>649</v>
      </c>
      <c r="D494" s="78" t="s">
        <v>637</v>
      </c>
      <c r="E494" s="78" t="s">
        <v>709</v>
      </c>
      <c r="F494" s="77"/>
      <c r="G494" s="79">
        <f>G495</f>
        <v>520280</v>
      </c>
      <c r="H494" s="79">
        <f>H495</f>
        <v>-520280</v>
      </c>
      <c r="I494" s="79">
        <f t="shared" si="25"/>
        <v>0</v>
      </c>
      <c r="J494" s="79">
        <f>J495</f>
        <v>0</v>
      </c>
    </row>
    <row r="495" spans="2:10" ht="25.5">
      <c r="B495" s="131" t="s">
        <v>767</v>
      </c>
      <c r="C495" s="77" t="s">
        <v>649</v>
      </c>
      <c r="D495" s="78" t="s">
        <v>637</v>
      </c>
      <c r="E495" s="78" t="s">
        <v>709</v>
      </c>
      <c r="F495" s="77">
        <v>600</v>
      </c>
      <c r="G495" s="79">
        <v>520280</v>
      </c>
      <c r="H495" s="79">
        <v>-520280</v>
      </c>
      <c r="I495" s="79">
        <f t="shared" si="25"/>
        <v>0</v>
      </c>
      <c r="J495" s="79">
        <v>0</v>
      </c>
    </row>
    <row r="496" spans="2:10" ht="25.5">
      <c r="B496" s="131" t="s">
        <v>836</v>
      </c>
      <c r="C496" s="77" t="s">
        <v>649</v>
      </c>
      <c r="D496" s="78" t="s">
        <v>637</v>
      </c>
      <c r="E496" s="78" t="s">
        <v>755</v>
      </c>
      <c r="F496" s="77"/>
      <c r="G496" s="79">
        <f>G497</f>
        <v>8484820</v>
      </c>
      <c r="H496" s="79">
        <f>H497</f>
        <v>-8484820</v>
      </c>
      <c r="I496" s="79">
        <f t="shared" si="25"/>
        <v>0</v>
      </c>
      <c r="J496" s="79">
        <f>J497</f>
        <v>0</v>
      </c>
    </row>
    <row r="497" spans="2:10" ht="12.75">
      <c r="B497" s="131" t="s">
        <v>837</v>
      </c>
      <c r="C497" s="77" t="s">
        <v>649</v>
      </c>
      <c r="D497" s="78" t="s">
        <v>637</v>
      </c>
      <c r="E497" s="78" t="s">
        <v>710</v>
      </c>
      <c r="F497" s="77"/>
      <c r="G497" s="79">
        <f>G498</f>
        <v>8484820</v>
      </c>
      <c r="H497" s="79">
        <f>H498</f>
        <v>-8484820</v>
      </c>
      <c r="I497" s="79">
        <f aca="true" t="shared" si="27" ref="I497:I528">G497+H497</f>
        <v>0</v>
      </c>
      <c r="J497" s="79">
        <f>J498</f>
        <v>0</v>
      </c>
    </row>
    <row r="498" spans="2:10" ht="25.5">
      <c r="B498" s="131" t="s">
        <v>767</v>
      </c>
      <c r="C498" s="77" t="s">
        <v>649</v>
      </c>
      <c r="D498" s="78" t="s">
        <v>637</v>
      </c>
      <c r="E498" s="78" t="s">
        <v>710</v>
      </c>
      <c r="F498" s="77">
        <v>600</v>
      </c>
      <c r="G498" s="79">
        <v>8484820</v>
      </c>
      <c r="H498" s="79">
        <v>-8484820</v>
      </c>
      <c r="I498" s="79">
        <f t="shared" si="27"/>
        <v>0</v>
      </c>
      <c r="J498" s="79">
        <v>0</v>
      </c>
    </row>
    <row r="499" spans="2:10" ht="25.5">
      <c r="B499" s="131" t="s">
        <v>1262</v>
      </c>
      <c r="C499" s="77" t="s">
        <v>649</v>
      </c>
      <c r="D499" s="78" t="s">
        <v>637</v>
      </c>
      <c r="E499" s="78" t="s">
        <v>1263</v>
      </c>
      <c r="F499" s="77"/>
      <c r="G499" s="79">
        <f>G500+G507+G510</f>
        <v>0</v>
      </c>
      <c r="H499" s="79">
        <f>H500+H507+H510</f>
        <v>43926800</v>
      </c>
      <c r="I499" s="79">
        <f t="shared" si="27"/>
        <v>43926800</v>
      </c>
      <c r="J499" s="79">
        <f>J500+J507+J510</f>
        <v>43926800</v>
      </c>
    </row>
    <row r="500" spans="2:10" ht="12.75">
      <c r="B500" s="131" t="s">
        <v>1264</v>
      </c>
      <c r="C500" s="77" t="s">
        <v>649</v>
      </c>
      <c r="D500" s="78" t="s">
        <v>637</v>
      </c>
      <c r="E500" s="78" t="s">
        <v>1265</v>
      </c>
      <c r="F500" s="77"/>
      <c r="G500" s="79">
        <f>G501+G503+G505</f>
        <v>0</v>
      </c>
      <c r="H500" s="79">
        <f>H501+H503+H505</f>
        <v>29385600</v>
      </c>
      <c r="I500" s="79">
        <f t="shared" si="27"/>
        <v>29385600</v>
      </c>
      <c r="J500" s="79">
        <f>J501+J503+J505</f>
        <v>29385600</v>
      </c>
    </row>
    <row r="501" spans="2:10" ht="25.5">
      <c r="B501" s="131" t="s">
        <v>1266</v>
      </c>
      <c r="C501" s="77" t="s">
        <v>649</v>
      </c>
      <c r="D501" s="78" t="s">
        <v>637</v>
      </c>
      <c r="E501" s="78" t="s">
        <v>1267</v>
      </c>
      <c r="F501" s="77"/>
      <c r="G501" s="79">
        <f>G502</f>
        <v>0</v>
      </c>
      <c r="H501" s="79">
        <f>H502</f>
        <v>29385600</v>
      </c>
      <c r="I501" s="79">
        <f t="shared" si="27"/>
        <v>29385600</v>
      </c>
      <c r="J501" s="79">
        <f>J502</f>
        <v>29385600</v>
      </c>
    </row>
    <row r="502" spans="2:10" ht="25.5">
      <c r="B502" s="131" t="s">
        <v>767</v>
      </c>
      <c r="C502" s="77" t="s">
        <v>649</v>
      </c>
      <c r="D502" s="78" t="s">
        <v>637</v>
      </c>
      <c r="E502" s="78" t="s">
        <v>1267</v>
      </c>
      <c r="F502" s="77" t="s">
        <v>973</v>
      </c>
      <c r="G502" s="79">
        <v>0</v>
      </c>
      <c r="H502" s="79">
        <f>22569600+6816000</f>
        <v>29385600</v>
      </c>
      <c r="I502" s="79">
        <f t="shared" si="27"/>
        <v>29385600</v>
      </c>
      <c r="J502" s="79">
        <f>22569600+6816000</f>
        <v>29385600</v>
      </c>
    </row>
    <row r="503" spans="2:10" ht="36" hidden="1">
      <c r="B503" s="88" t="s">
        <v>1377</v>
      </c>
      <c r="C503" s="77" t="s">
        <v>649</v>
      </c>
      <c r="D503" s="78" t="s">
        <v>637</v>
      </c>
      <c r="E503" s="78" t="s">
        <v>1378</v>
      </c>
      <c r="F503" s="77"/>
      <c r="G503" s="79">
        <f>G504</f>
        <v>0</v>
      </c>
      <c r="H503" s="79">
        <f>H504</f>
        <v>0</v>
      </c>
      <c r="I503" s="79">
        <f t="shared" si="27"/>
        <v>0</v>
      </c>
      <c r="J503" s="79">
        <f>J504</f>
        <v>0</v>
      </c>
    </row>
    <row r="504" spans="2:10" ht="24" hidden="1">
      <c r="B504" s="88" t="s">
        <v>767</v>
      </c>
      <c r="C504" s="77" t="s">
        <v>649</v>
      </c>
      <c r="D504" s="78" t="s">
        <v>637</v>
      </c>
      <c r="E504" s="78" t="s">
        <v>1378</v>
      </c>
      <c r="F504" s="77" t="s">
        <v>973</v>
      </c>
      <c r="G504" s="79">
        <v>0</v>
      </c>
      <c r="H504" s="79">
        <v>0</v>
      </c>
      <c r="I504" s="79">
        <f t="shared" si="27"/>
        <v>0</v>
      </c>
      <c r="J504" s="79">
        <v>0</v>
      </c>
    </row>
    <row r="505" spans="2:10" ht="36" hidden="1">
      <c r="B505" s="88" t="s">
        <v>1379</v>
      </c>
      <c r="C505" s="77" t="s">
        <v>649</v>
      </c>
      <c r="D505" s="78" t="s">
        <v>637</v>
      </c>
      <c r="E505" s="78" t="s">
        <v>1380</v>
      </c>
      <c r="F505" s="77"/>
      <c r="G505" s="79">
        <f>G506</f>
        <v>0</v>
      </c>
      <c r="H505" s="79">
        <f>H506</f>
        <v>0</v>
      </c>
      <c r="I505" s="79">
        <f t="shared" si="27"/>
        <v>0</v>
      </c>
      <c r="J505" s="79">
        <f>J506</f>
        <v>0</v>
      </c>
    </row>
    <row r="506" spans="2:10" ht="24" hidden="1">
      <c r="B506" s="88" t="s">
        <v>767</v>
      </c>
      <c r="C506" s="77" t="s">
        <v>649</v>
      </c>
      <c r="D506" s="78" t="s">
        <v>637</v>
      </c>
      <c r="E506" s="78" t="s">
        <v>1380</v>
      </c>
      <c r="F506" s="77" t="s">
        <v>973</v>
      </c>
      <c r="G506" s="79">
        <v>0</v>
      </c>
      <c r="H506" s="79">
        <v>0</v>
      </c>
      <c r="I506" s="79">
        <f t="shared" si="27"/>
        <v>0</v>
      </c>
      <c r="J506" s="79">
        <v>0</v>
      </c>
    </row>
    <row r="507" spans="2:10" ht="12.75">
      <c r="B507" s="131" t="s">
        <v>1268</v>
      </c>
      <c r="C507" s="77" t="s">
        <v>649</v>
      </c>
      <c r="D507" s="78" t="s">
        <v>637</v>
      </c>
      <c r="E507" s="78" t="s">
        <v>1269</v>
      </c>
      <c r="F507" s="77"/>
      <c r="G507" s="79">
        <f>G508</f>
        <v>0</v>
      </c>
      <c r="H507" s="79">
        <f>H508</f>
        <v>13554300</v>
      </c>
      <c r="I507" s="79">
        <f t="shared" si="27"/>
        <v>13554300</v>
      </c>
      <c r="J507" s="79">
        <f>J508</f>
        <v>13554300</v>
      </c>
    </row>
    <row r="508" spans="2:10" ht="38.25">
      <c r="B508" s="131" t="s">
        <v>1270</v>
      </c>
      <c r="C508" s="77" t="s">
        <v>649</v>
      </c>
      <c r="D508" s="78" t="s">
        <v>637</v>
      </c>
      <c r="E508" s="78" t="s">
        <v>1271</v>
      </c>
      <c r="F508" s="77"/>
      <c r="G508" s="79">
        <f>G509</f>
        <v>0</v>
      </c>
      <c r="H508" s="79">
        <f>H509</f>
        <v>13554300</v>
      </c>
      <c r="I508" s="79">
        <f t="shared" si="27"/>
        <v>13554300</v>
      </c>
      <c r="J508" s="79">
        <f>J509</f>
        <v>13554300</v>
      </c>
    </row>
    <row r="509" spans="1:10" ht="25.5">
      <c r="A509" s="82"/>
      <c r="B509" s="131" t="s">
        <v>767</v>
      </c>
      <c r="C509" s="77" t="s">
        <v>649</v>
      </c>
      <c r="D509" s="78" t="s">
        <v>637</v>
      </c>
      <c r="E509" s="78" t="s">
        <v>1271</v>
      </c>
      <c r="F509" s="77" t="s">
        <v>973</v>
      </c>
      <c r="G509" s="79">
        <v>0</v>
      </c>
      <c r="H509" s="79">
        <f>10410400+3143900</f>
        <v>13554300</v>
      </c>
      <c r="I509" s="79">
        <f t="shared" si="27"/>
        <v>13554300</v>
      </c>
      <c r="J509" s="79">
        <f>10410400+3143900</f>
        <v>13554300</v>
      </c>
    </row>
    <row r="510" spans="1:10" ht="25.5">
      <c r="A510" s="82"/>
      <c r="B510" s="131" t="s">
        <v>1272</v>
      </c>
      <c r="C510" s="77" t="s">
        <v>649</v>
      </c>
      <c r="D510" s="78" t="s">
        <v>637</v>
      </c>
      <c r="E510" s="78" t="s">
        <v>1273</v>
      </c>
      <c r="F510" s="77"/>
      <c r="G510" s="79">
        <f>G511</f>
        <v>0</v>
      </c>
      <c r="H510" s="79">
        <f>H511</f>
        <v>986900</v>
      </c>
      <c r="I510" s="79">
        <f t="shared" si="27"/>
        <v>986900</v>
      </c>
      <c r="J510" s="79">
        <f>J511</f>
        <v>986900</v>
      </c>
    </row>
    <row r="511" spans="1:10" ht="25.5">
      <c r="A511" s="82"/>
      <c r="B511" s="131" t="s">
        <v>834</v>
      </c>
      <c r="C511" s="77" t="s">
        <v>649</v>
      </c>
      <c r="D511" s="78" t="s">
        <v>637</v>
      </c>
      <c r="E511" s="78" t="s">
        <v>1274</v>
      </c>
      <c r="F511" s="77"/>
      <c r="G511" s="79">
        <f>G512</f>
        <v>0</v>
      </c>
      <c r="H511" s="79">
        <f>H512</f>
        <v>986900</v>
      </c>
      <c r="I511" s="79">
        <f t="shared" si="27"/>
        <v>986900</v>
      </c>
      <c r="J511" s="79">
        <f>J512</f>
        <v>986900</v>
      </c>
    </row>
    <row r="512" spans="1:10" ht="25.5">
      <c r="A512" s="83"/>
      <c r="B512" s="131" t="s">
        <v>767</v>
      </c>
      <c r="C512" s="77" t="s">
        <v>649</v>
      </c>
      <c r="D512" s="78" t="s">
        <v>637</v>
      </c>
      <c r="E512" s="78" t="s">
        <v>1274</v>
      </c>
      <c r="F512" s="77" t="s">
        <v>973</v>
      </c>
      <c r="G512" s="79">
        <v>0</v>
      </c>
      <c r="H512" s="79">
        <f>758000+228900</f>
        <v>986900</v>
      </c>
      <c r="I512" s="79">
        <f t="shared" si="27"/>
        <v>986900</v>
      </c>
      <c r="J512" s="79">
        <f>758000+228900</f>
        <v>986900</v>
      </c>
    </row>
    <row r="513" spans="1:10" ht="12.75">
      <c r="A513" s="84"/>
      <c r="B513" s="130" t="s">
        <v>394</v>
      </c>
      <c r="C513" s="117" t="s">
        <v>649</v>
      </c>
      <c r="D513" s="128" t="s">
        <v>640</v>
      </c>
      <c r="E513" s="128"/>
      <c r="F513" s="117"/>
      <c r="G513" s="129">
        <f>G514+G523</f>
        <v>4458458</v>
      </c>
      <c r="H513" s="129">
        <f>H514+H523</f>
        <v>1777842</v>
      </c>
      <c r="I513" s="129">
        <f t="shared" si="27"/>
        <v>6236300</v>
      </c>
      <c r="J513" s="129">
        <f>J514+J523</f>
        <v>6236300</v>
      </c>
    </row>
    <row r="514" spans="1:10" ht="25.5">
      <c r="A514" s="84"/>
      <c r="B514" s="131" t="s">
        <v>841</v>
      </c>
      <c r="C514" s="77" t="s">
        <v>649</v>
      </c>
      <c r="D514" s="78" t="s">
        <v>640</v>
      </c>
      <c r="E514" s="78" t="s">
        <v>792</v>
      </c>
      <c r="F514" s="77"/>
      <c r="G514" s="79">
        <f>G515+G519</f>
        <v>4458458</v>
      </c>
      <c r="H514" s="79">
        <f>H515+H519</f>
        <v>-4458458</v>
      </c>
      <c r="I514" s="79">
        <f t="shared" si="27"/>
        <v>0</v>
      </c>
      <c r="J514" s="79">
        <f>J515+J519</f>
        <v>0</v>
      </c>
    </row>
    <row r="515" spans="1:10" ht="12.75">
      <c r="A515" s="84"/>
      <c r="B515" s="131" t="s">
        <v>842</v>
      </c>
      <c r="C515" s="77" t="s">
        <v>649</v>
      </c>
      <c r="D515" s="78" t="s">
        <v>640</v>
      </c>
      <c r="E515" s="78" t="s">
        <v>793</v>
      </c>
      <c r="F515" s="77"/>
      <c r="G515" s="79">
        <f>G516</f>
        <v>871038</v>
      </c>
      <c r="H515" s="79">
        <f>H516</f>
        <v>-871038</v>
      </c>
      <c r="I515" s="79">
        <f t="shared" si="27"/>
        <v>0</v>
      </c>
      <c r="J515" s="79">
        <f>J516</f>
        <v>0</v>
      </c>
    </row>
    <row r="516" spans="1:10" ht="25.5">
      <c r="A516" s="84"/>
      <c r="B516" s="131" t="s">
        <v>843</v>
      </c>
      <c r="C516" s="77" t="s">
        <v>649</v>
      </c>
      <c r="D516" s="78" t="s">
        <v>640</v>
      </c>
      <c r="E516" s="78" t="s">
        <v>794</v>
      </c>
      <c r="F516" s="77"/>
      <c r="G516" s="79">
        <f>G517</f>
        <v>871038</v>
      </c>
      <c r="H516" s="79">
        <f>H517</f>
        <v>-871038</v>
      </c>
      <c r="I516" s="79">
        <f t="shared" si="27"/>
        <v>0</v>
      </c>
      <c r="J516" s="79">
        <f>J517</f>
        <v>0</v>
      </c>
    </row>
    <row r="517" spans="1:10" ht="51">
      <c r="A517" s="84"/>
      <c r="B517" s="131" t="s">
        <v>765</v>
      </c>
      <c r="C517" s="77" t="s">
        <v>649</v>
      </c>
      <c r="D517" s="78" t="s">
        <v>640</v>
      </c>
      <c r="E517" s="78" t="s">
        <v>794</v>
      </c>
      <c r="F517" s="77">
        <v>100</v>
      </c>
      <c r="G517" s="79">
        <v>871038</v>
      </c>
      <c r="H517" s="79">
        <v>-871038</v>
      </c>
      <c r="I517" s="79">
        <f t="shared" si="27"/>
        <v>0</v>
      </c>
      <c r="J517" s="79">
        <v>0</v>
      </c>
    </row>
    <row r="518" spans="1:10" ht="38.25">
      <c r="A518" s="84"/>
      <c r="B518" s="131" t="s">
        <v>1119</v>
      </c>
      <c r="C518" s="77" t="s">
        <v>649</v>
      </c>
      <c r="D518" s="78" t="s">
        <v>640</v>
      </c>
      <c r="E518" s="78" t="s">
        <v>1118</v>
      </c>
      <c r="F518" s="77"/>
      <c r="G518" s="79">
        <f>G519</f>
        <v>3587420</v>
      </c>
      <c r="H518" s="79">
        <f>H519</f>
        <v>-3587420</v>
      </c>
      <c r="I518" s="79">
        <f t="shared" si="27"/>
        <v>0</v>
      </c>
      <c r="J518" s="79">
        <f>J519</f>
        <v>0</v>
      </c>
    </row>
    <row r="519" spans="1:10" ht="38.25">
      <c r="A519" s="84"/>
      <c r="B519" s="131" t="s">
        <v>1117</v>
      </c>
      <c r="C519" s="77" t="s">
        <v>649</v>
      </c>
      <c r="D519" s="78" t="s">
        <v>640</v>
      </c>
      <c r="E519" s="78" t="s">
        <v>1106</v>
      </c>
      <c r="F519" s="77"/>
      <c r="G519" s="79">
        <f>G520+G521+G522</f>
        <v>3587420</v>
      </c>
      <c r="H519" s="79">
        <f>H520+H521+H522</f>
        <v>-3587420</v>
      </c>
      <c r="I519" s="79">
        <f t="shared" si="27"/>
        <v>0</v>
      </c>
      <c r="J519" s="79">
        <f>J520+J521+J522</f>
        <v>0</v>
      </c>
    </row>
    <row r="520" spans="1:10" ht="51">
      <c r="A520" s="85"/>
      <c r="B520" s="131" t="s">
        <v>765</v>
      </c>
      <c r="C520" s="77" t="s">
        <v>649</v>
      </c>
      <c r="D520" s="78" t="s">
        <v>640</v>
      </c>
      <c r="E520" s="78" t="s">
        <v>1106</v>
      </c>
      <c r="F520" s="77" t="s">
        <v>733</v>
      </c>
      <c r="G520" s="79">
        <f>3393050+30000</f>
        <v>3423050</v>
      </c>
      <c r="H520" s="79">
        <v>-3423050</v>
      </c>
      <c r="I520" s="79">
        <f t="shared" si="27"/>
        <v>0</v>
      </c>
      <c r="J520" s="79">
        <v>0</v>
      </c>
    </row>
    <row r="521" spans="1:10" ht="25.5">
      <c r="A521" s="85"/>
      <c r="B521" s="131" t="s">
        <v>766</v>
      </c>
      <c r="C521" s="77" t="s">
        <v>649</v>
      </c>
      <c r="D521" s="78" t="s">
        <v>640</v>
      </c>
      <c r="E521" s="78" t="s">
        <v>1106</v>
      </c>
      <c r="F521" s="77" t="s">
        <v>971</v>
      </c>
      <c r="G521" s="79">
        <v>149170</v>
      </c>
      <c r="H521" s="79">
        <v>-149170</v>
      </c>
      <c r="I521" s="79">
        <f t="shared" si="27"/>
        <v>0</v>
      </c>
      <c r="J521" s="79">
        <v>0</v>
      </c>
    </row>
    <row r="522" spans="1:10" ht="12.75">
      <c r="A522" s="85"/>
      <c r="B522" s="131" t="s">
        <v>769</v>
      </c>
      <c r="C522" s="77" t="s">
        <v>649</v>
      </c>
      <c r="D522" s="78" t="s">
        <v>640</v>
      </c>
      <c r="E522" s="78" t="s">
        <v>1106</v>
      </c>
      <c r="F522" s="77" t="s">
        <v>967</v>
      </c>
      <c r="G522" s="79">
        <v>15200</v>
      </c>
      <c r="H522" s="79">
        <v>-15200</v>
      </c>
      <c r="I522" s="79">
        <f t="shared" si="27"/>
        <v>0</v>
      </c>
      <c r="J522" s="79">
        <v>0</v>
      </c>
    </row>
    <row r="523" spans="1:10" ht="25.5">
      <c r="A523" s="85"/>
      <c r="B523" s="131" t="s">
        <v>1262</v>
      </c>
      <c r="C523" s="77" t="s">
        <v>649</v>
      </c>
      <c r="D523" s="78" t="s">
        <v>640</v>
      </c>
      <c r="E523" s="78" t="s">
        <v>1263</v>
      </c>
      <c r="F523" s="77"/>
      <c r="G523" s="79">
        <f>G524</f>
        <v>0</v>
      </c>
      <c r="H523" s="79">
        <f>H524</f>
        <v>6236300</v>
      </c>
      <c r="I523" s="79">
        <f t="shared" si="27"/>
        <v>6236300</v>
      </c>
      <c r="J523" s="79">
        <f>J524</f>
        <v>6236300</v>
      </c>
    </row>
    <row r="524" spans="1:10" ht="38.25">
      <c r="A524" s="85"/>
      <c r="B524" s="131" t="s">
        <v>1275</v>
      </c>
      <c r="C524" s="77" t="s">
        <v>649</v>
      </c>
      <c r="D524" s="78" t="s">
        <v>640</v>
      </c>
      <c r="E524" s="78" t="s">
        <v>1276</v>
      </c>
      <c r="F524" s="77"/>
      <c r="G524" s="79">
        <f>G525+G528</f>
        <v>0</v>
      </c>
      <c r="H524" s="79">
        <f>H525+H528</f>
        <v>6236300</v>
      </c>
      <c r="I524" s="79">
        <f t="shared" si="27"/>
        <v>6236300</v>
      </c>
      <c r="J524" s="79">
        <f>J525+J528</f>
        <v>6236300</v>
      </c>
    </row>
    <row r="525" spans="1:10" ht="38.25">
      <c r="A525" s="85"/>
      <c r="B525" s="131" t="s">
        <v>1277</v>
      </c>
      <c r="C525" s="77" t="s">
        <v>649</v>
      </c>
      <c r="D525" s="78" t="s">
        <v>640</v>
      </c>
      <c r="E525" s="78" t="s">
        <v>1278</v>
      </c>
      <c r="F525" s="77"/>
      <c r="G525" s="79">
        <f>G526</f>
        <v>0</v>
      </c>
      <c r="H525" s="79">
        <f>H526</f>
        <v>879900</v>
      </c>
      <c r="I525" s="79">
        <f t="shared" si="27"/>
        <v>879900</v>
      </c>
      <c r="J525" s="79">
        <f>J526</f>
        <v>879900</v>
      </c>
    </row>
    <row r="526" spans="1:10" ht="25.5">
      <c r="A526" s="84"/>
      <c r="B526" s="131" t="s">
        <v>843</v>
      </c>
      <c r="C526" s="77" t="s">
        <v>649</v>
      </c>
      <c r="D526" s="78" t="s">
        <v>640</v>
      </c>
      <c r="E526" s="78" t="s">
        <v>1381</v>
      </c>
      <c r="F526" s="77"/>
      <c r="G526" s="79">
        <f>G527</f>
        <v>0</v>
      </c>
      <c r="H526" s="79">
        <f>H527</f>
        <v>879900</v>
      </c>
      <c r="I526" s="79">
        <f t="shared" si="27"/>
        <v>879900</v>
      </c>
      <c r="J526" s="79">
        <f>J527</f>
        <v>879900</v>
      </c>
    </row>
    <row r="527" spans="1:10" ht="51">
      <c r="A527" s="84"/>
      <c r="B527" s="131" t="s">
        <v>765</v>
      </c>
      <c r="C527" s="77" t="s">
        <v>649</v>
      </c>
      <c r="D527" s="78" t="s">
        <v>640</v>
      </c>
      <c r="E527" s="78" t="s">
        <v>1381</v>
      </c>
      <c r="F527" s="77" t="s">
        <v>733</v>
      </c>
      <c r="G527" s="79">
        <v>0</v>
      </c>
      <c r="H527" s="79">
        <f>675800+204100</f>
        <v>879900</v>
      </c>
      <c r="I527" s="79">
        <f t="shared" si="27"/>
        <v>879900</v>
      </c>
      <c r="J527" s="79">
        <f>675800+204100</f>
        <v>879900</v>
      </c>
    </row>
    <row r="528" spans="1:10" ht="25.5">
      <c r="A528" s="85"/>
      <c r="B528" s="131" t="s">
        <v>1279</v>
      </c>
      <c r="C528" s="77" t="s">
        <v>649</v>
      </c>
      <c r="D528" s="78" t="s">
        <v>640</v>
      </c>
      <c r="E528" s="78" t="s">
        <v>1280</v>
      </c>
      <c r="F528" s="77"/>
      <c r="G528" s="79">
        <f>G529</f>
        <v>0</v>
      </c>
      <c r="H528" s="79">
        <f>H529</f>
        <v>5356400</v>
      </c>
      <c r="I528" s="79">
        <f t="shared" si="27"/>
        <v>5356400</v>
      </c>
      <c r="J528" s="79">
        <f>J529</f>
        <v>5356400</v>
      </c>
    </row>
    <row r="529" spans="1:10" ht="25.5">
      <c r="A529" s="85"/>
      <c r="B529" s="131" t="s">
        <v>1281</v>
      </c>
      <c r="C529" s="77" t="s">
        <v>649</v>
      </c>
      <c r="D529" s="78" t="s">
        <v>640</v>
      </c>
      <c r="E529" s="78" t="s">
        <v>1382</v>
      </c>
      <c r="F529" s="77"/>
      <c r="G529" s="79">
        <f>G530+G531+G532</f>
        <v>0</v>
      </c>
      <c r="H529" s="79">
        <f>H530+H531+H532</f>
        <v>5356400</v>
      </c>
      <c r="I529" s="79">
        <f aca="true" t="shared" si="28" ref="I529:I560">G529+H529</f>
        <v>5356400</v>
      </c>
      <c r="J529" s="79">
        <f>J530+J531+J532</f>
        <v>5356400</v>
      </c>
    </row>
    <row r="530" spans="1:10" ht="51">
      <c r="A530" s="84"/>
      <c r="B530" s="131" t="s">
        <v>765</v>
      </c>
      <c r="C530" s="77" t="s">
        <v>649</v>
      </c>
      <c r="D530" s="78" t="s">
        <v>640</v>
      </c>
      <c r="E530" s="78" t="s">
        <v>1382</v>
      </c>
      <c r="F530" s="77" t="s">
        <v>733</v>
      </c>
      <c r="G530" s="79">
        <v>0</v>
      </c>
      <c r="H530" s="79">
        <f>4114000+1242400</f>
        <v>5356400</v>
      </c>
      <c r="I530" s="79">
        <f t="shared" si="28"/>
        <v>5356400</v>
      </c>
      <c r="J530" s="79">
        <f>4114000+1242400</f>
        <v>5356400</v>
      </c>
    </row>
    <row r="531" spans="1:10" ht="24" hidden="1">
      <c r="A531" s="85"/>
      <c r="B531" s="88" t="s">
        <v>766</v>
      </c>
      <c r="C531" s="77"/>
      <c r="D531" s="78"/>
      <c r="E531" s="78" t="s">
        <v>1382</v>
      </c>
      <c r="F531" s="77"/>
      <c r="G531" s="79">
        <v>0</v>
      </c>
      <c r="H531" s="79">
        <v>0</v>
      </c>
      <c r="I531" s="79">
        <f t="shared" si="28"/>
        <v>0</v>
      </c>
      <c r="J531" s="79">
        <v>0</v>
      </c>
    </row>
    <row r="532" spans="1:10" ht="24" hidden="1">
      <c r="A532" s="85"/>
      <c r="B532" s="88" t="s">
        <v>766</v>
      </c>
      <c r="C532" s="77"/>
      <c r="D532" s="78"/>
      <c r="E532" s="78" t="s">
        <v>1382</v>
      </c>
      <c r="F532" s="77"/>
      <c r="G532" s="79">
        <v>0</v>
      </c>
      <c r="H532" s="79">
        <v>0</v>
      </c>
      <c r="I532" s="79">
        <f t="shared" si="28"/>
        <v>0</v>
      </c>
      <c r="J532" s="79">
        <v>0</v>
      </c>
    </row>
    <row r="533" spans="1:10" ht="12.75">
      <c r="A533" s="85"/>
      <c r="B533" s="130" t="s">
        <v>958</v>
      </c>
      <c r="C533" s="117" t="s">
        <v>628</v>
      </c>
      <c r="D533" s="128"/>
      <c r="E533" s="128"/>
      <c r="F533" s="117"/>
      <c r="G533" s="129">
        <f>G534+G540+G560</f>
        <v>16040340</v>
      </c>
      <c r="H533" s="129">
        <f>H534+H540+H560</f>
        <v>-3920140</v>
      </c>
      <c r="I533" s="129">
        <f t="shared" si="28"/>
        <v>12120200</v>
      </c>
      <c r="J533" s="129">
        <f>J534+J540+J560</f>
        <v>12863700</v>
      </c>
    </row>
    <row r="534" spans="1:10" ht="12.75">
      <c r="A534" s="85"/>
      <c r="B534" s="130" t="s">
        <v>11</v>
      </c>
      <c r="C534" s="117" t="s">
        <v>628</v>
      </c>
      <c r="D534" s="128" t="s">
        <v>637</v>
      </c>
      <c r="E534" s="128"/>
      <c r="F534" s="117"/>
      <c r="G534" s="129">
        <f aca="true" t="shared" si="29" ref="G534:H538">G535</f>
        <v>0</v>
      </c>
      <c r="H534" s="129">
        <f t="shared" si="29"/>
        <v>0</v>
      </c>
      <c r="I534" s="129">
        <f t="shared" si="28"/>
        <v>0</v>
      </c>
      <c r="J534" s="129">
        <f>J535</f>
        <v>0</v>
      </c>
    </row>
    <row r="535" spans="1:10" ht="38.25" hidden="1">
      <c r="A535" s="85"/>
      <c r="B535" s="131" t="s">
        <v>1183</v>
      </c>
      <c r="C535" s="77" t="s">
        <v>628</v>
      </c>
      <c r="D535" s="78" t="s">
        <v>637</v>
      </c>
      <c r="E535" s="78" t="s">
        <v>1184</v>
      </c>
      <c r="F535" s="77"/>
      <c r="G535" s="79">
        <f t="shared" si="29"/>
        <v>0</v>
      </c>
      <c r="H535" s="79">
        <f t="shared" si="29"/>
        <v>0</v>
      </c>
      <c r="I535" s="79">
        <f t="shared" si="28"/>
        <v>0</v>
      </c>
      <c r="J535" s="79">
        <f>J536</f>
        <v>0</v>
      </c>
    </row>
    <row r="536" spans="1:10" ht="25.5" hidden="1">
      <c r="A536" s="85"/>
      <c r="B536" s="131" t="s">
        <v>1282</v>
      </c>
      <c r="C536" s="77" t="s">
        <v>628</v>
      </c>
      <c r="D536" s="78" t="s">
        <v>637</v>
      </c>
      <c r="E536" s="78" t="s">
        <v>1283</v>
      </c>
      <c r="F536" s="77"/>
      <c r="G536" s="79">
        <f t="shared" si="29"/>
        <v>0</v>
      </c>
      <c r="H536" s="79">
        <f t="shared" si="29"/>
        <v>0</v>
      </c>
      <c r="I536" s="79">
        <f t="shared" si="28"/>
        <v>0</v>
      </c>
      <c r="J536" s="79">
        <f>J537</f>
        <v>0</v>
      </c>
    </row>
    <row r="537" spans="1:10" ht="25.5" hidden="1">
      <c r="A537" s="85"/>
      <c r="B537" s="131" t="s">
        <v>1284</v>
      </c>
      <c r="C537" s="77" t="s">
        <v>628</v>
      </c>
      <c r="D537" s="78" t="s">
        <v>637</v>
      </c>
      <c r="E537" s="78" t="s">
        <v>1285</v>
      </c>
      <c r="F537" s="77"/>
      <c r="G537" s="79">
        <f t="shared" si="29"/>
        <v>0</v>
      </c>
      <c r="H537" s="79">
        <f t="shared" si="29"/>
        <v>0</v>
      </c>
      <c r="I537" s="79">
        <f t="shared" si="28"/>
        <v>0</v>
      </c>
      <c r="J537" s="79">
        <f>J538</f>
        <v>0</v>
      </c>
    </row>
    <row r="538" spans="1:10" ht="12.75" hidden="1">
      <c r="A538" s="85"/>
      <c r="B538" s="131" t="s">
        <v>1286</v>
      </c>
      <c r="C538" s="77" t="s">
        <v>628</v>
      </c>
      <c r="D538" s="78" t="s">
        <v>637</v>
      </c>
      <c r="E538" s="78" t="s">
        <v>1287</v>
      </c>
      <c r="F538" s="77"/>
      <c r="G538" s="79">
        <f t="shared" si="29"/>
        <v>0</v>
      </c>
      <c r="H538" s="79">
        <f t="shared" si="29"/>
        <v>0</v>
      </c>
      <c r="I538" s="79">
        <f t="shared" si="28"/>
        <v>0</v>
      </c>
      <c r="J538" s="79">
        <f>J539</f>
        <v>0</v>
      </c>
    </row>
    <row r="539" spans="1:10" ht="12.75" hidden="1">
      <c r="A539" s="85"/>
      <c r="B539" s="131" t="s">
        <v>771</v>
      </c>
      <c r="C539" s="77" t="s">
        <v>628</v>
      </c>
      <c r="D539" s="78" t="s">
        <v>637</v>
      </c>
      <c r="E539" s="78" t="s">
        <v>1287</v>
      </c>
      <c r="F539" s="77" t="s">
        <v>997</v>
      </c>
      <c r="G539" s="79"/>
      <c r="H539" s="79">
        <v>0</v>
      </c>
      <c r="I539" s="79">
        <f t="shared" si="28"/>
        <v>0</v>
      </c>
      <c r="J539" s="79"/>
    </row>
    <row r="540" spans="1:10" ht="12.75">
      <c r="A540" s="85"/>
      <c r="B540" s="130" t="s">
        <v>490</v>
      </c>
      <c r="C540" s="117" t="s">
        <v>628</v>
      </c>
      <c r="D540" s="128" t="s">
        <v>639</v>
      </c>
      <c r="E540" s="128"/>
      <c r="F540" s="117"/>
      <c r="G540" s="129">
        <f>G552+G541</f>
        <v>9471340</v>
      </c>
      <c r="H540" s="129">
        <f>H552+H541</f>
        <v>-1173340</v>
      </c>
      <c r="I540" s="129">
        <f t="shared" si="28"/>
        <v>8298000</v>
      </c>
      <c r="J540" s="129">
        <f>J552+J541</f>
        <v>9041500</v>
      </c>
    </row>
    <row r="541" spans="1:10" ht="51">
      <c r="A541" s="85"/>
      <c r="B541" s="131" t="s">
        <v>1204</v>
      </c>
      <c r="C541" s="77" t="s">
        <v>628</v>
      </c>
      <c r="D541" s="78" t="s">
        <v>639</v>
      </c>
      <c r="E541" s="78" t="s">
        <v>1177</v>
      </c>
      <c r="F541" s="77"/>
      <c r="G541" s="79">
        <f>G542</f>
        <v>0</v>
      </c>
      <c r="H541" s="79">
        <f>H542</f>
        <v>8298000</v>
      </c>
      <c r="I541" s="79">
        <f t="shared" si="28"/>
        <v>8298000</v>
      </c>
      <c r="J541" s="79">
        <f>J542</f>
        <v>9041500</v>
      </c>
    </row>
    <row r="542" spans="1:10" ht="12.75">
      <c r="A542" s="85"/>
      <c r="B542" s="131" t="s">
        <v>1288</v>
      </c>
      <c r="C542" s="77" t="s">
        <v>628</v>
      </c>
      <c r="D542" s="78" t="s">
        <v>639</v>
      </c>
      <c r="E542" s="78" t="s">
        <v>1289</v>
      </c>
      <c r="F542" s="77"/>
      <c r="G542" s="79">
        <f>G543</f>
        <v>0</v>
      </c>
      <c r="H542" s="79">
        <f>H543</f>
        <v>8298000</v>
      </c>
      <c r="I542" s="79">
        <f t="shared" si="28"/>
        <v>8298000</v>
      </c>
      <c r="J542" s="79">
        <f>J543</f>
        <v>9041500</v>
      </c>
    </row>
    <row r="543" spans="1:10" ht="25.5">
      <c r="A543" s="85"/>
      <c r="B543" s="131" t="s">
        <v>926</v>
      </c>
      <c r="C543" s="77" t="s">
        <v>628</v>
      </c>
      <c r="D543" s="78" t="s">
        <v>639</v>
      </c>
      <c r="E543" s="78" t="s">
        <v>1290</v>
      </c>
      <c r="F543" s="77"/>
      <c r="G543" s="79">
        <f>G544+G546+G550+G548</f>
        <v>0</v>
      </c>
      <c r="H543" s="79">
        <f>H544+H546+H550+H548</f>
        <v>8298000</v>
      </c>
      <c r="I543" s="79">
        <f t="shared" si="28"/>
        <v>8298000</v>
      </c>
      <c r="J543" s="79">
        <f>J544+J546+J550+J548</f>
        <v>9041500</v>
      </c>
    </row>
    <row r="544" spans="1:10" ht="38.25">
      <c r="A544" s="85"/>
      <c r="B544" s="131" t="s">
        <v>1291</v>
      </c>
      <c r="C544" s="77" t="s">
        <v>628</v>
      </c>
      <c r="D544" s="78" t="s">
        <v>639</v>
      </c>
      <c r="E544" s="78" t="s">
        <v>1292</v>
      </c>
      <c r="F544" s="77"/>
      <c r="G544" s="79">
        <f>G545</f>
        <v>0</v>
      </c>
      <c r="H544" s="79">
        <f>H545</f>
        <v>2019800</v>
      </c>
      <c r="I544" s="79">
        <f t="shared" si="28"/>
        <v>2019800</v>
      </c>
      <c r="J544" s="79">
        <f>J545</f>
        <v>1956300</v>
      </c>
    </row>
    <row r="545" spans="1:10" ht="12.75">
      <c r="A545" s="85"/>
      <c r="B545" s="131" t="s">
        <v>771</v>
      </c>
      <c r="C545" s="77" t="s">
        <v>628</v>
      </c>
      <c r="D545" s="78" t="s">
        <v>639</v>
      </c>
      <c r="E545" s="78" t="s">
        <v>1292</v>
      </c>
      <c r="F545" s="77" t="s">
        <v>997</v>
      </c>
      <c r="G545" s="79">
        <v>0</v>
      </c>
      <c r="H545" s="79">
        <v>2019800</v>
      </c>
      <c r="I545" s="79">
        <f t="shared" si="28"/>
        <v>2019800</v>
      </c>
      <c r="J545" s="79">
        <v>1956300</v>
      </c>
    </row>
    <row r="546" spans="1:10" ht="51">
      <c r="A546" s="85"/>
      <c r="B546" s="131" t="s">
        <v>1144</v>
      </c>
      <c r="C546" s="77" t="s">
        <v>628</v>
      </c>
      <c r="D546" s="78" t="s">
        <v>639</v>
      </c>
      <c r="E546" s="78" t="s">
        <v>1293</v>
      </c>
      <c r="F546" s="77"/>
      <c r="G546" s="79">
        <f>G547</f>
        <v>0</v>
      </c>
      <c r="H546" s="79">
        <f>H547</f>
        <v>249200</v>
      </c>
      <c r="I546" s="79">
        <f t="shared" si="28"/>
        <v>249200</v>
      </c>
      <c r="J546" s="79">
        <f>J547</f>
        <v>223200</v>
      </c>
    </row>
    <row r="547" spans="1:10" ht="12.75">
      <c r="A547" s="84"/>
      <c r="B547" s="131" t="s">
        <v>771</v>
      </c>
      <c r="C547" s="77" t="s">
        <v>628</v>
      </c>
      <c r="D547" s="78" t="s">
        <v>639</v>
      </c>
      <c r="E547" s="78" t="s">
        <v>1293</v>
      </c>
      <c r="F547" s="77" t="s">
        <v>997</v>
      </c>
      <c r="G547" s="79">
        <v>0</v>
      </c>
      <c r="H547" s="79">
        <v>249200</v>
      </c>
      <c r="I547" s="79">
        <f t="shared" si="28"/>
        <v>249200</v>
      </c>
      <c r="J547" s="79">
        <v>223200</v>
      </c>
    </row>
    <row r="548" spans="1:10" ht="24" hidden="1">
      <c r="A548" s="84"/>
      <c r="B548" s="88" t="s">
        <v>1359</v>
      </c>
      <c r="C548" s="77" t="s">
        <v>628</v>
      </c>
      <c r="D548" s="78" t="s">
        <v>639</v>
      </c>
      <c r="E548" s="78" t="s">
        <v>1360</v>
      </c>
      <c r="F548" s="77"/>
      <c r="G548" s="79">
        <f>G549</f>
        <v>0</v>
      </c>
      <c r="H548" s="79">
        <f>H549</f>
        <v>0</v>
      </c>
      <c r="I548" s="79">
        <f t="shared" si="28"/>
        <v>0</v>
      </c>
      <c r="J548" s="79">
        <f>J549</f>
        <v>0</v>
      </c>
    </row>
    <row r="549" spans="1:10" ht="12.75" hidden="1">
      <c r="A549" s="85"/>
      <c r="B549" s="88" t="s">
        <v>771</v>
      </c>
      <c r="C549" s="77" t="s">
        <v>628</v>
      </c>
      <c r="D549" s="78" t="s">
        <v>639</v>
      </c>
      <c r="E549" s="78" t="s">
        <v>1360</v>
      </c>
      <c r="F549" s="77" t="s">
        <v>997</v>
      </c>
      <c r="G549" s="79">
        <v>0</v>
      </c>
      <c r="H549" s="79">
        <v>0</v>
      </c>
      <c r="I549" s="79">
        <f t="shared" si="28"/>
        <v>0</v>
      </c>
      <c r="J549" s="79">
        <v>0</v>
      </c>
    </row>
    <row r="550" spans="1:10" ht="25.5">
      <c r="A550" s="85"/>
      <c r="B550" s="131" t="s">
        <v>1021</v>
      </c>
      <c r="C550" s="77" t="s">
        <v>628</v>
      </c>
      <c r="D550" s="78" t="s">
        <v>639</v>
      </c>
      <c r="E550" s="78" t="s">
        <v>1294</v>
      </c>
      <c r="F550" s="77"/>
      <c r="G550" s="79">
        <f>G551</f>
        <v>0</v>
      </c>
      <c r="H550" s="79">
        <f>H551</f>
        <v>6029000</v>
      </c>
      <c r="I550" s="79">
        <f t="shared" si="28"/>
        <v>6029000</v>
      </c>
      <c r="J550" s="79">
        <f>J551</f>
        <v>6862000</v>
      </c>
    </row>
    <row r="551" spans="1:10" ht="12.75">
      <c r="A551" s="85"/>
      <c r="B551" s="131" t="s">
        <v>771</v>
      </c>
      <c r="C551" s="77" t="s">
        <v>628</v>
      </c>
      <c r="D551" s="78" t="s">
        <v>639</v>
      </c>
      <c r="E551" s="78" t="s">
        <v>1294</v>
      </c>
      <c r="F551" s="77" t="s">
        <v>997</v>
      </c>
      <c r="G551" s="79">
        <v>0</v>
      </c>
      <c r="H551" s="79">
        <v>6029000</v>
      </c>
      <c r="I551" s="79">
        <f t="shared" si="28"/>
        <v>6029000</v>
      </c>
      <c r="J551" s="79">
        <v>6862000</v>
      </c>
    </row>
    <row r="552" spans="1:10" ht="25.5">
      <c r="A552" s="84"/>
      <c r="B552" s="131" t="s">
        <v>926</v>
      </c>
      <c r="C552" s="77" t="s">
        <v>628</v>
      </c>
      <c r="D552" s="78" t="s">
        <v>639</v>
      </c>
      <c r="E552" s="78" t="s">
        <v>748</v>
      </c>
      <c r="F552" s="77"/>
      <c r="G552" s="79">
        <f>G553</f>
        <v>9471340</v>
      </c>
      <c r="H552" s="79">
        <f>H553</f>
        <v>-9471340</v>
      </c>
      <c r="I552" s="79">
        <f t="shared" si="28"/>
        <v>0</v>
      </c>
      <c r="J552" s="79">
        <f>J553</f>
        <v>0</v>
      </c>
    </row>
    <row r="553" spans="1:10" ht="51">
      <c r="A553" s="84"/>
      <c r="B553" s="131" t="s">
        <v>927</v>
      </c>
      <c r="C553" s="77" t="s">
        <v>628</v>
      </c>
      <c r="D553" s="78" t="s">
        <v>639</v>
      </c>
      <c r="E553" s="78" t="s">
        <v>747</v>
      </c>
      <c r="F553" s="77"/>
      <c r="G553" s="79">
        <f>G556+G554+G558</f>
        <v>9471340</v>
      </c>
      <c r="H553" s="79">
        <f>H556+H554+H558</f>
        <v>-9471340</v>
      </c>
      <c r="I553" s="79">
        <f t="shared" si="28"/>
        <v>0</v>
      </c>
      <c r="J553" s="79">
        <f>J556+J554+J558</f>
        <v>0</v>
      </c>
    </row>
    <row r="554" spans="1:10" ht="25.5">
      <c r="A554" s="85"/>
      <c r="B554" s="131" t="s">
        <v>1021</v>
      </c>
      <c r="C554" s="77" t="s">
        <v>628</v>
      </c>
      <c r="D554" s="78" t="s">
        <v>639</v>
      </c>
      <c r="E554" s="78" t="s">
        <v>1132</v>
      </c>
      <c r="F554" s="77"/>
      <c r="G554" s="79">
        <f>G555</f>
        <v>7034500</v>
      </c>
      <c r="H554" s="79">
        <f>H555</f>
        <v>-7034500</v>
      </c>
      <c r="I554" s="79">
        <f t="shared" si="28"/>
        <v>0</v>
      </c>
      <c r="J554" s="79">
        <f>J555</f>
        <v>0</v>
      </c>
    </row>
    <row r="555" spans="1:10" ht="12.75">
      <c r="A555" s="85"/>
      <c r="B555" s="131" t="s">
        <v>771</v>
      </c>
      <c r="C555" s="77" t="s">
        <v>628</v>
      </c>
      <c r="D555" s="78" t="s">
        <v>639</v>
      </c>
      <c r="E555" s="78" t="s">
        <v>1132</v>
      </c>
      <c r="F555" s="77" t="s">
        <v>997</v>
      </c>
      <c r="G555" s="79">
        <v>7034500</v>
      </c>
      <c r="H555" s="79">
        <v>-7034500</v>
      </c>
      <c r="I555" s="79">
        <f t="shared" si="28"/>
        <v>0</v>
      </c>
      <c r="J555" s="79">
        <v>0</v>
      </c>
    </row>
    <row r="556" spans="1:10" ht="63.75">
      <c r="A556" s="85"/>
      <c r="B556" s="131" t="s">
        <v>929</v>
      </c>
      <c r="C556" s="77" t="s">
        <v>628</v>
      </c>
      <c r="D556" s="78" t="s">
        <v>639</v>
      </c>
      <c r="E556" s="78" t="s">
        <v>697</v>
      </c>
      <c r="F556" s="77"/>
      <c r="G556" s="79">
        <f>G557</f>
        <v>1827630</v>
      </c>
      <c r="H556" s="79">
        <f>H557</f>
        <v>-1827630</v>
      </c>
      <c r="I556" s="79">
        <f t="shared" si="28"/>
        <v>0</v>
      </c>
      <c r="J556" s="79">
        <f>J557</f>
        <v>0</v>
      </c>
    </row>
    <row r="557" spans="1:10" ht="12.75">
      <c r="A557" s="85"/>
      <c r="B557" s="131" t="s">
        <v>771</v>
      </c>
      <c r="C557" s="77" t="s">
        <v>628</v>
      </c>
      <c r="D557" s="78" t="s">
        <v>639</v>
      </c>
      <c r="E557" s="78" t="s">
        <v>697</v>
      </c>
      <c r="F557" s="77">
        <v>300</v>
      </c>
      <c r="G557" s="79">
        <v>1827630</v>
      </c>
      <c r="H557" s="79">
        <v>-1827630</v>
      </c>
      <c r="I557" s="79">
        <f t="shared" si="28"/>
        <v>0</v>
      </c>
      <c r="J557" s="79">
        <v>0</v>
      </c>
    </row>
    <row r="558" spans="1:10" ht="51">
      <c r="A558" s="85"/>
      <c r="B558" s="131" t="s">
        <v>1144</v>
      </c>
      <c r="C558" s="77" t="s">
        <v>628</v>
      </c>
      <c r="D558" s="78" t="s">
        <v>639</v>
      </c>
      <c r="E558" s="78" t="s">
        <v>1145</v>
      </c>
      <c r="F558" s="77"/>
      <c r="G558" s="79">
        <f>G559</f>
        <v>609210</v>
      </c>
      <c r="H558" s="79">
        <f>H559</f>
        <v>-609210</v>
      </c>
      <c r="I558" s="79">
        <f t="shared" si="28"/>
        <v>0</v>
      </c>
      <c r="J558" s="79">
        <f>J559</f>
        <v>0</v>
      </c>
    </row>
    <row r="559" spans="1:10" ht="12.75">
      <c r="A559" s="85"/>
      <c r="B559" s="131" t="s">
        <v>771</v>
      </c>
      <c r="C559" s="77" t="s">
        <v>628</v>
      </c>
      <c r="D559" s="78" t="s">
        <v>639</v>
      </c>
      <c r="E559" s="78" t="s">
        <v>1145</v>
      </c>
      <c r="F559" s="77" t="s">
        <v>997</v>
      </c>
      <c r="G559" s="79">
        <v>609210</v>
      </c>
      <c r="H559" s="79">
        <v>-609210</v>
      </c>
      <c r="I559" s="79">
        <f t="shared" si="28"/>
        <v>0</v>
      </c>
      <c r="J559" s="79">
        <v>0</v>
      </c>
    </row>
    <row r="560" spans="1:10" ht="12.75">
      <c r="A560" s="85"/>
      <c r="B560" s="130" t="s">
        <v>556</v>
      </c>
      <c r="C560" s="117" t="s">
        <v>628</v>
      </c>
      <c r="D560" s="128" t="s">
        <v>640</v>
      </c>
      <c r="E560" s="128"/>
      <c r="F560" s="117"/>
      <c r="G560" s="129">
        <f>G561+G564</f>
        <v>6569000</v>
      </c>
      <c r="H560" s="129">
        <f>H561+H564</f>
        <v>-2746800</v>
      </c>
      <c r="I560" s="129">
        <f t="shared" si="28"/>
        <v>3822200</v>
      </c>
      <c r="J560" s="129">
        <f>J561+J564</f>
        <v>3822200</v>
      </c>
    </row>
    <row r="561" spans="1:10" ht="12.75">
      <c r="A561" s="85"/>
      <c r="B561" s="131" t="s">
        <v>1070</v>
      </c>
      <c r="C561" s="77" t="s">
        <v>628</v>
      </c>
      <c r="D561" s="78" t="s">
        <v>640</v>
      </c>
      <c r="E561" s="78" t="s">
        <v>757</v>
      </c>
      <c r="F561" s="77"/>
      <c r="G561" s="79">
        <f aca="true" t="shared" si="30" ref="G561:J562">G562</f>
        <v>6569000</v>
      </c>
      <c r="H561" s="79">
        <f t="shared" si="30"/>
        <v>-6569000</v>
      </c>
      <c r="I561" s="79">
        <f aca="true" t="shared" si="31" ref="I561:I592">G561+H561</f>
        <v>0</v>
      </c>
      <c r="J561" s="79">
        <f t="shared" si="30"/>
        <v>0</v>
      </c>
    </row>
    <row r="562" spans="1:10" ht="63.75">
      <c r="A562" s="85"/>
      <c r="B562" s="131" t="s">
        <v>1134</v>
      </c>
      <c r="C562" s="77" t="s">
        <v>628</v>
      </c>
      <c r="D562" s="78" t="s">
        <v>640</v>
      </c>
      <c r="E562" s="78" t="s">
        <v>1063</v>
      </c>
      <c r="F562" s="77"/>
      <c r="G562" s="79">
        <f t="shared" si="30"/>
        <v>6569000</v>
      </c>
      <c r="H562" s="79">
        <f t="shared" si="30"/>
        <v>-6569000</v>
      </c>
      <c r="I562" s="79">
        <f t="shared" si="31"/>
        <v>0</v>
      </c>
      <c r="J562" s="79">
        <f t="shared" si="30"/>
        <v>0</v>
      </c>
    </row>
    <row r="563" spans="1:10" ht="12.75">
      <c r="A563" s="85"/>
      <c r="B563" s="131" t="s">
        <v>771</v>
      </c>
      <c r="C563" s="77" t="s">
        <v>628</v>
      </c>
      <c r="D563" s="78" t="s">
        <v>640</v>
      </c>
      <c r="E563" s="78" t="s">
        <v>1063</v>
      </c>
      <c r="F563" s="77">
        <v>300</v>
      </c>
      <c r="G563" s="79">
        <v>6569000</v>
      </c>
      <c r="H563" s="79">
        <v>-6569000</v>
      </c>
      <c r="I563" s="79">
        <f t="shared" si="31"/>
        <v>0</v>
      </c>
      <c r="J563" s="79">
        <v>0</v>
      </c>
    </row>
    <row r="564" spans="1:10" ht="25.5">
      <c r="A564" s="85"/>
      <c r="B564" s="131" t="s">
        <v>1209</v>
      </c>
      <c r="C564" s="77" t="s">
        <v>628</v>
      </c>
      <c r="D564" s="78" t="s">
        <v>640</v>
      </c>
      <c r="E564" s="78" t="s">
        <v>1210</v>
      </c>
      <c r="F564" s="77"/>
      <c r="G564" s="79">
        <f aca="true" t="shared" si="32" ref="G564:H567">G565</f>
        <v>0</v>
      </c>
      <c r="H564" s="79">
        <f t="shared" si="32"/>
        <v>3822200</v>
      </c>
      <c r="I564" s="79">
        <f t="shared" si="31"/>
        <v>3822200</v>
      </c>
      <c r="J564" s="79">
        <f>J565</f>
        <v>3822200</v>
      </c>
    </row>
    <row r="565" spans="1:10" ht="12.75">
      <c r="A565" s="85"/>
      <c r="B565" s="131" t="s">
        <v>1211</v>
      </c>
      <c r="C565" s="77" t="s">
        <v>628</v>
      </c>
      <c r="D565" s="78" t="s">
        <v>640</v>
      </c>
      <c r="E565" s="78" t="s">
        <v>1212</v>
      </c>
      <c r="F565" s="77"/>
      <c r="G565" s="79">
        <f t="shared" si="32"/>
        <v>0</v>
      </c>
      <c r="H565" s="79">
        <f t="shared" si="32"/>
        <v>3822200</v>
      </c>
      <c r="I565" s="79">
        <f t="shared" si="31"/>
        <v>3822200</v>
      </c>
      <c r="J565" s="79">
        <f>J566</f>
        <v>3822200</v>
      </c>
    </row>
    <row r="566" spans="1:10" ht="25.5">
      <c r="A566" s="85"/>
      <c r="B566" s="131" t="s">
        <v>1213</v>
      </c>
      <c r="C566" s="77" t="s">
        <v>628</v>
      </c>
      <c r="D566" s="78" t="s">
        <v>640</v>
      </c>
      <c r="E566" s="78" t="s">
        <v>1214</v>
      </c>
      <c r="F566" s="77"/>
      <c r="G566" s="79">
        <f t="shared" si="32"/>
        <v>0</v>
      </c>
      <c r="H566" s="79">
        <f t="shared" si="32"/>
        <v>3822200</v>
      </c>
      <c r="I566" s="79">
        <f t="shared" si="31"/>
        <v>3822200</v>
      </c>
      <c r="J566" s="79">
        <f>J567</f>
        <v>3822200</v>
      </c>
    </row>
    <row r="567" spans="1:10" ht="63.75">
      <c r="A567" s="85"/>
      <c r="B567" s="131" t="s">
        <v>1134</v>
      </c>
      <c r="C567" s="77" t="s">
        <v>628</v>
      </c>
      <c r="D567" s="78" t="s">
        <v>640</v>
      </c>
      <c r="E567" s="78" t="s">
        <v>1295</v>
      </c>
      <c r="F567" s="77"/>
      <c r="G567" s="79">
        <f t="shared" si="32"/>
        <v>0</v>
      </c>
      <c r="H567" s="79">
        <f t="shared" si="32"/>
        <v>3822200</v>
      </c>
      <c r="I567" s="79">
        <f t="shared" si="31"/>
        <v>3822200</v>
      </c>
      <c r="J567" s="79">
        <f>J568</f>
        <v>3822200</v>
      </c>
    </row>
    <row r="568" spans="1:10" ht="12.75">
      <c r="A568" s="85"/>
      <c r="B568" s="131" t="s">
        <v>771</v>
      </c>
      <c r="C568" s="77" t="s">
        <v>628</v>
      </c>
      <c r="D568" s="78" t="s">
        <v>640</v>
      </c>
      <c r="E568" s="78" t="s">
        <v>1295</v>
      </c>
      <c r="F568" s="77" t="s">
        <v>997</v>
      </c>
      <c r="G568" s="79">
        <v>0</v>
      </c>
      <c r="H568" s="79">
        <v>3822200</v>
      </c>
      <c r="I568" s="79">
        <f t="shared" si="31"/>
        <v>3822200</v>
      </c>
      <c r="J568" s="79">
        <v>3822200</v>
      </c>
    </row>
    <row r="569" spans="1:10" ht="12.75" hidden="1">
      <c r="A569" s="85"/>
      <c r="B569" s="127" t="s">
        <v>268</v>
      </c>
      <c r="C569" s="117" t="s">
        <v>642</v>
      </c>
      <c r="D569" s="128"/>
      <c r="E569" s="128"/>
      <c r="F569" s="117"/>
      <c r="G569" s="129">
        <f aca="true" t="shared" si="33" ref="G569:H572">G570</f>
        <v>0</v>
      </c>
      <c r="H569" s="129">
        <f t="shared" si="33"/>
        <v>0</v>
      </c>
      <c r="I569" s="129">
        <f t="shared" si="31"/>
        <v>0</v>
      </c>
      <c r="J569" s="129">
        <f>J570</f>
        <v>0</v>
      </c>
    </row>
    <row r="570" spans="1:10" ht="12.75" hidden="1">
      <c r="A570" s="85"/>
      <c r="B570" s="127" t="s">
        <v>626</v>
      </c>
      <c r="C570" s="117" t="s">
        <v>642</v>
      </c>
      <c r="D570" s="117" t="s">
        <v>638</v>
      </c>
      <c r="E570" s="128"/>
      <c r="F570" s="117"/>
      <c r="G570" s="129">
        <f t="shared" si="33"/>
        <v>0</v>
      </c>
      <c r="H570" s="129">
        <f t="shared" si="33"/>
        <v>0</v>
      </c>
      <c r="I570" s="129">
        <f t="shared" si="31"/>
        <v>0</v>
      </c>
      <c r="J570" s="129">
        <f>J571</f>
        <v>0</v>
      </c>
    </row>
    <row r="571" spans="1:10" ht="36" hidden="1">
      <c r="A571" s="85"/>
      <c r="B571" s="88" t="s">
        <v>1247</v>
      </c>
      <c r="C571" s="77" t="s">
        <v>642</v>
      </c>
      <c r="D571" s="77" t="s">
        <v>638</v>
      </c>
      <c r="E571" s="77" t="s">
        <v>1248</v>
      </c>
      <c r="F571" s="77"/>
      <c r="G571" s="79">
        <f t="shared" si="33"/>
        <v>0</v>
      </c>
      <c r="H571" s="79">
        <f t="shared" si="33"/>
        <v>0</v>
      </c>
      <c r="I571" s="79">
        <f t="shared" si="31"/>
        <v>0</v>
      </c>
      <c r="J571" s="79">
        <f>J572</f>
        <v>0</v>
      </c>
    </row>
    <row r="572" spans="1:10" ht="12.75" hidden="1">
      <c r="A572" s="84"/>
      <c r="B572" s="88" t="s">
        <v>1361</v>
      </c>
      <c r="C572" s="77" t="s">
        <v>642</v>
      </c>
      <c r="D572" s="77" t="s">
        <v>638</v>
      </c>
      <c r="E572" s="77" t="s">
        <v>1362</v>
      </c>
      <c r="F572" s="77"/>
      <c r="G572" s="79">
        <f t="shared" si="33"/>
        <v>0</v>
      </c>
      <c r="H572" s="79">
        <f t="shared" si="33"/>
        <v>0</v>
      </c>
      <c r="I572" s="79">
        <f t="shared" si="31"/>
        <v>0</v>
      </c>
      <c r="J572" s="79">
        <f>J573</f>
        <v>0</v>
      </c>
    </row>
    <row r="573" spans="1:10" ht="24" hidden="1">
      <c r="A573" s="84"/>
      <c r="B573" s="88" t="s">
        <v>1363</v>
      </c>
      <c r="C573" s="77" t="s">
        <v>642</v>
      </c>
      <c r="D573" s="77" t="s">
        <v>638</v>
      </c>
      <c r="E573" s="77" t="s">
        <v>1364</v>
      </c>
      <c r="F573" s="77"/>
      <c r="G573" s="79">
        <f>G574+G575+G576</f>
        <v>0</v>
      </c>
      <c r="H573" s="79">
        <f>H574+H575+H576</f>
        <v>0</v>
      </c>
      <c r="I573" s="79">
        <f t="shared" si="31"/>
        <v>0</v>
      </c>
      <c r="J573" s="79">
        <f>J574+J575+J576</f>
        <v>0</v>
      </c>
    </row>
    <row r="574" spans="1:10" ht="48" hidden="1">
      <c r="A574" s="84"/>
      <c r="B574" s="88" t="s">
        <v>765</v>
      </c>
      <c r="C574" s="77" t="s">
        <v>642</v>
      </c>
      <c r="D574" s="77" t="s">
        <v>638</v>
      </c>
      <c r="E574" s="77" t="s">
        <v>1364</v>
      </c>
      <c r="F574" s="77" t="s">
        <v>733</v>
      </c>
      <c r="G574" s="79">
        <v>0</v>
      </c>
      <c r="H574" s="79">
        <v>0</v>
      </c>
      <c r="I574" s="79">
        <f t="shared" si="31"/>
        <v>0</v>
      </c>
      <c r="J574" s="79">
        <v>0</v>
      </c>
    </row>
    <row r="575" spans="1:10" ht="24" hidden="1">
      <c r="A575" s="84"/>
      <c r="B575" s="88" t="s">
        <v>766</v>
      </c>
      <c r="C575" s="77" t="s">
        <v>642</v>
      </c>
      <c r="D575" s="77" t="s">
        <v>638</v>
      </c>
      <c r="E575" s="77" t="s">
        <v>1364</v>
      </c>
      <c r="F575" s="77" t="s">
        <v>971</v>
      </c>
      <c r="G575" s="79">
        <v>0</v>
      </c>
      <c r="H575" s="79">
        <v>0</v>
      </c>
      <c r="I575" s="79">
        <f t="shared" si="31"/>
        <v>0</v>
      </c>
      <c r="J575" s="79">
        <v>0</v>
      </c>
    </row>
    <row r="576" spans="1:10" ht="12.75" hidden="1">
      <c r="A576" s="84"/>
      <c r="B576" s="88" t="s">
        <v>771</v>
      </c>
      <c r="C576" s="77" t="s">
        <v>642</v>
      </c>
      <c r="D576" s="77" t="s">
        <v>638</v>
      </c>
      <c r="E576" s="77" t="s">
        <v>1364</v>
      </c>
      <c r="F576" s="77" t="s">
        <v>997</v>
      </c>
      <c r="G576" s="79">
        <v>0</v>
      </c>
      <c r="H576" s="79">
        <v>0</v>
      </c>
      <c r="I576" s="79">
        <f t="shared" si="31"/>
        <v>0</v>
      </c>
      <c r="J576" s="79">
        <v>0</v>
      </c>
    </row>
    <row r="577" spans="1:10" ht="12.75">
      <c r="A577" s="85"/>
      <c r="B577" s="127" t="s">
        <v>959</v>
      </c>
      <c r="C577" s="117" t="s">
        <v>647</v>
      </c>
      <c r="D577" s="128"/>
      <c r="E577" s="117"/>
      <c r="F577" s="117"/>
      <c r="G577" s="129">
        <f>G578+G586</f>
        <v>1200000</v>
      </c>
      <c r="H577" s="129">
        <f>H578+H586</f>
        <v>-1200000</v>
      </c>
      <c r="I577" s="129">
        <f t="shared" si="31"/>
        <v>0</v>
      </c>
      <c r="J577" s="129">
        <f>J578+J586</f>
        <v>0</v>
      </c>
    </row>
    <row r="578" spans="1:10" ht="12.75">
      <c r="A578" s="85"/>
      <c r="B578" s="88" t="s">
        <v>630</v>
      </c>
      <c r="C578" s="77" t="s">
        <v>647</v>
      </c>
      <c r="D578" s="78" t="s">
        <v>637</v>
      </c>
      <c r="E578" s="78"/>
      <c r="F578" s="77"/>
      <c r="G578" s="79">
        <f>G579+G582</f>
        <v>200000</v>
      </c>
      <c r="H578" s="79">
        <f>H579+H582</f>
        <v>-200000</v>
      </c>
      <c r="I578" s="79">
        <f t="shared" si="31"/>
        <v>0</v>
      </c>
      <c r="J578" s="79">
        <f>J579+J582</f>
        <v>0</v>
      </c>
    </row>
    <row r="579" spans="1:10" ht="36">
      <c r="A579" s="85"/>
      <c r="B579" s="88" t="s">
        <v>897</v>
      </c>
      <c r="C579" s="77" t="s">
        <v>647</v>
      </c>
      <c r="D579" s="78" t="s">
        <v>637</v>
      </c>
      <c r="E579" s="78" t="s">
        <v>750</v>
      </c>
      <c r="F579" s="77"/>
      <c r="G579" s="79">
        <f aca="true" t="shared" si="34" ref="G579:J580">G580</f>
        <v>200000</v>
      </c>
      <c r="H579" s="79">
        <f t="shared" si="34"/>
        <v>-200000</v>
      </c>
      <c r="I579" s="79">
        <f t="shared" si="31"/>
        <v>0</v>
      </c>
      <c r="J579" s="79">
        <f t="shared" si="34"/>
        <v>0</v>
      </c>
    </row>
    <row r="580" spans="1:10" ht="12.75">
      <c r="A580" s="85"/>
      <c r="B580" s="88" t="s">
        <v>899</v>
      </c>
      <c r="C580" s="77" t="s">
        <v>647</v>
      </c>
      <c r="D580" s="78" t="s">
        <v>637</v>
      </c>
      <c r="E580" s="78" t="s">
        <v>703</v>
      </c>
      <c r="F580" s="77"/>
      <c r="G580" s="79">
        <f t="shared" si="34"/>
        <v>200000</v>
      </c>
      <c r="H580" s="79">
        <f t="shared" si="34"/>
        <v>-200000</v>
      </c>
      <c r="I580" s="79">
        <f t="shared" si="31"/>
        <v>0</v>
      </c>
      <c r="J580" s="79">
        <f t="shared" si="34"/>
        <v>0</v>
      </c>
    </row>
    <row r="581" spans="1:10" ht="24">
      <c r="A581" s="85"/>
      <c r="B581" s="88" t="s">
        <v>767</v>
      </c>
      <c r="C581" s="77" t="s">
        <v>647</v>
      </c>
      <c r="D581" s="78" t="s">
        <v>637</v>
      </c>
      <c r="E581" s="78" t="s">
        <v>703</v>
      </c>
      <c r="F581" s="77">
        <v>600</v>
      </c>
      <c r="G581" s="79">
        <v>200000</v>
      </c>
      <c r="H581" s="79">
        <v>-200000</v>
      </c>
      <c r="I581" s="79">
        <f t="shared" si="31"/>
        <v>0</v>
      </c>
      <c r="J581" s="79">
        <v>0</v>
      </c>
    </row>
    <row r="582" spans="1:10" ht="24" hidden="1">
      <c r="A582" s="85"/>
      <c r="B582" s="88" t="s">
        <v>1365</v>
      </c>
      <c r="C582" s="77" t="s">
        <v>647</v>
      </c>
      <c r="D582" s="78" t="s">
        <v>637</v>
      </c>
      <c r="E582" s="78" t="s">
        <v>1366</v>
      </c>
      <c r="F582" s="77"/>
      <c r="G582" s="79">
        <f aca="true" t="shared" si="35" ref="G582:H584">G583</f>
        <v>0</v>
      </c>
      <c r="H582" s="79">
        <f t="shared" si="35"/>
        <v>0</v>
      </c>
      <c r="I582" s="79">
        <f t="shared" si="31"/>
        <v>0</v>
      </c>
      <c r="J582" s="79">
        <f>J583</f>
        <v>0</v>
      </c>
    </row>
    <row r="583" spans="1:10" ht="24" hidden="1">
      <c r="A583" s="85"/>
      <c r="B583" s="88" t="s">
        <v>1367</v>
      </c>
      <c r="C583" s="77" t="s">
        <v>647</v>
      </c>
      <c r="D583" s="78" t="s">
        <v>637</v>
      </c>
      <c r="E583" s="78" t="s">
        <v>1368</v>
      </c>
      <c r="F583" s="77"/>
      <c r="G583" s="79">
        <f t="shared" si="35"/>
        <v>0</v>
      </c>
      <c r="H583" s="79">
        <f t="shared" si="35"/>
        <v>0</v>
      </c>
      <c r="I583" s="79">
        <f t="shared" si="31"/>
        <v>0</v>
      </c>
      <c r="J583" s="79">
        <f>J584</f>
        <v>0</v>
      </c>
    </row>
    <row r="584" spans="1:10" ht="24" hidden="1">
      <c r="A584" s="85"/>
      <c r="B584" s="88" t="s">
        <v>1369</v>
      </c>
      <c r="C584" s="77" t="s">
        <v>647</v>
      </c>
      <c r="D584" s="78" t="s">
        <v>637</v>
      </c>
      <c r="E584" s="78" t="s">
        <v>1370</v>
      </c>
      <c r="F584" s="77"/>
      <c r="G584" s="79">
        <f t="shared" si="35"/>
        <v>0</v>
      </c>
      <c r="H584" s="79">
        <f t="shared" si="35"/>
        <v>0</v>
      </c>
      <c r="I584" s="79">
        <f t="shared" si="31"/>
        <v>0</v>
      </c>
      <c r="J584" s="79">
        <f>J585</f>
        <v>0</v>
      </c>
    </row>
    <row r="585" spans="1:10" ht="24" hidden="1">
      <c r="A585" s="85"/>
      <c r="B585" s="88" t="s">
        <v>767</v>
      </c>
      <c r="C585" s="77" t="s">
        <v>647</v>
      </c>
      <c r="D585" s="78" t="s">
        <v>637</v>
      </c>
      <c r="E585" s="78" t="s">
        <v>1370</v>
      </c>
      <c r="F585" s="77" t="s">
        <v>973</v>
      </c>
      <c r="G585" s="79">
        <v>0</v>
      </c>
      <c r="H585" s="79">
        <v>0</v>
      </c>
      <c r="I585" s="79">
        <f t="shared" si="31"/>
        <v>0</v>
      </c>
      <c r="J585" s="79">
        <v>0</v>
      </c>
    </row>
    <row r="586" spans="1:10" ht="12.75">
      <c r="A586" s="84"/>
      <c r="B586" s="127" t="s">
        <v>587</v>
      </c>
      <c r="C586" s="117" t="s">
        <v>647</v>
      </c>
      <c r="D586" s="128" t="s">
        <v>638</v>
      </c>
      <c r="E586" s="128"/>
      <c r="F586" s="117"/>
      <c r="G586" s="129">
        <f>G587+G590</f>
        <v>1000000</v>
      </c>
      <c r="H586" s="129">
        <f>H587+H590</f>
        <v>-1000000</v>
      </c>
      <c r="I586" s="129">
        <f t="shared" si="31"/>
        <v>0</v>
      </c>
      <c r="J586" s="129">
        <f>J587+J590</f>
        <v>0</v>
      </c>
    </row>
    <row r="587" spans="1:10" ht="36">
      <c r="A587" s="84"/>
      <c r="B587" s="88" t="s">
        <v>897</v>
      </c>
      <c r="C587" s="77" t="s">
        <v>647</v>
      </c>
      <c r="D587" s="78" t="s">
        <v>638</v>
      </c>
      <c r="E587" s="78" t="s">
        <v>750</v>
      </c>
      <c r="F587" s="77"/>
      <c r="G587" s="79">
        <f aca="true" t="shared" si="36" ref="G587:J588">G588</f>
        <v>1000000</v>
      </c>
      <c r="H587" s="79">
        <f t="shared" si="36"/>
        <v>-1000000</v>
      </c>
      <c r="I587" s="79">
        <f t="shared" si="31"/>
        <v>0</v>
      </c>
      <c r="J587" s="79">
        <f t="shared" si="36"/>
        <v>0</v>
      </c>
    </row>
    <row r="588" spans="1:10" ht="12.75">
      <c r="A588" s="85"/>
      <c r="B588" s="88" t="s">
        <v>898</v>
      </c>
      <c r="C588" s="77" t="s">
        <v>647</v>
      </c>
      <c r="D588" s="78" t="s">
        <v>638</v>
      </c>
      <c r="E588" s="78" t="s">
        <v>704</v>
      </c>
      <c r="F588" s="77"/>
      <c r="G588" s="79">
        <f t="shared" si="36"/>
        <v>1000000</v>
      </c>
      <c r="H588" s="79">
        <f t="shared" si="36"/>
        <v>-1000000</v>
      </c>
      <c r="I588" s="79">
        <f t="shared" si="31"/>
        <v>0</v>
      </c>
      <c r="J588" s="79">
        <f t="shared" si="36"/>
        <v>0</v>
      </c>
    </row>
    <row r="589" spans="1:10" ht="24">
      <c r="A589" s="84"/>
      <c r="B589" s="88" t="s">
        <v>767</v>
      </c>
      <c r="C589" s="77" t="s">
        <v>647</v>
      </c>
      <c r="D589" s="78" t="s">
        <v>638</v>
      </c>
      <c r="E589" s="78" t="s">
        <v>704</v>
      </c>
      <c r="F589" s="77">
        <v>600</v>
      </c>
      <c r="G589" s="79">
        <v>1000000</v>
      </c>
      <c r="H589" s="79">
        <v>-1000000</v>
      </c>
      <c r="I589" s="79">
        <f t="shared" si="31"/>
        <v>0</v>
      </c>
      <c r="J589" s="79">
        <v>0</v>
      </c>
    </row>
    <row r="590" spans="1:10" ht="24" hidden="1">
      <c r="A590" s="84"/>
      <c r="B590" s="88" t="s">
        <v>1365</v>
      </c>
      <c r="C590" s="77" t="s">
        <v>647</v>
      </c>
      <c r="D590" s="78" t="s">
        <v>638</v>
      </c>
      <c r="E590" s="78" t="s">
        <v>1366</v>
      </c>
      <c r="F590" s="77"/>
      <c r="G590" s="79">
        <f aca="true" t="shared" si="37" ref="G590:H592">G591</f>
        <v>0</v>
      </c>
      <c r="H590" s="79">
        <f t="shared" si="37"/>
        <v>0</v>
      </c>
      <c r="I590" s="79">
        <f t="shared" si="31"/>
        <v>0</v>
      </c>
      <c r="J590" s="79">
        <f>J591</f>
        <v>0</v>
      </c>
    </row>
    <row r="591" spans="1:10" ht="12.75" hidden="1">
      <c r="A591" s="84"/>
      <c r="B591" s="88" t="s">
        <v>1371</v>
      </c>
      <c r="C591" s="77" t="s">
        <v>647</v>
      </c>
      <c r="D591" s="78" t="s">
        <v>638</v>
      </c>
      <c r="E591" s="78" t="s">
        <v>1372</v>
      </c>
      <c r="F591" s="77"/>
      <c r="G591" s="79">
        <f t="shared" si="37"/>
        <v>0</v>
      </c>
      <c r="H591" s="79">
        <f t="shared" si="37"/>
        <v>0</v>
      </c>
      <c r="I591" s="79">
        <f t="shared" si="31"/>
        <v>0</v>
      </c>
      <c r="J591" s="79">
        <f>J592</f>
        <v>0</v>
      </c>
    </row>
    <row r="592" spans="1:10" ht="24" hidden="1">
      <c r="A592" s="84"/>
      <c r="B592" s="88" t="s">
        <v>1373</v>
      </c>
      <c r="C592" s="77" t="s">
        <v>647</v>
      </c>
      <c r="D592" s="78" t="s">
        <v>638</v>
      </c>
      <c r="E592" s="78" t="s">
        <v>1374</v>
      </c>
      <c r="F592" s="77"/>
      <c r="G592" s="79">
        <f t="shared" si="37"/>
        <v>0</v>
      </c>
      <c r="H592" s="79">
        <f t="shared" si="37"/>
        <v>0</v>
      </c>
      <c r="I592" s="79">
        <f t="shared" si="31"/>
        <v>0</v>
      </c>
      <c r="J592" s="79">
        <f>J593</f>
        <v>0</v>
      </c>
    </row>
    <row r="593" spans="1:10" ht="24" hidden="1">
      <c r="A593" s="84"/>
      <c r="B593" s="88" t="s">
        <v>767</v>
      </c>
      <c r="C593" s="77" t="s">
        <v>647</v>
      </c>
      <c r="D593" s="78" t="s">
        <v>638</v>
      </c>
      <c r="E593" s="78" t="s">
        <v>1374</v>
      </c>
      <c r="F593" s="77" t="s">
        <v>973</v>
      </c>
      <c r="G593" s="79">
        <v>0</v>
      </c>
      <c r="H593" s="79">
        <v>0</v>
      </c>
      <c r="I593" s="79">
        <f>G593+H593</f>
        <v>0</v>
      </c>
      <c r="J593" s="79">
        <v>0</v>
      </c>
    </row>
    <row r="594" spans="1:10" ht="12.75">
      <c r="A594" s="84"/>
      <c r="B594" s="130" t="s">
        <v>951</v>
      </c>
      <c r="C594" s="117" t="s">
        <v>643</v>
      </c>
      <c r="D594" s="128"/>
      <c r="E594" s="128"/>
      <c r="F594" s="117"/>
      <c r="G594" s="129">
        <f aca="true" t="shared" si="38" ref="G594:J599">G595</f>
        <v>0</v>
      </c>
      <c r="H594" s="129">
        <f t="shared" si="38"/>
        <v>4500</v>
      </c>
      <c r="I594" s="129">
        <f>G594+H594</f>
        <v>4500</v>
      </c>
      <c r="J594" s="129">
        <f t="shared" si="38"/>
        <v>3000</v>
      </c>
    </row>
    <row r="595" spans="1:10" ht="25.5">
      <c r="A595" s="84"/>
      <c r="B595" s="130" t="s">
        <v>1028</v>
      </c>
      <c r="C595" s="117" t="s">
        <v>643</v>
      </c>
      <c r="D595" s="128" t="s">
        <v>637</v>
      </c>
      <c r="E595" s="128"/>
      <c r="F595" s="117"/>
      <c r="G595" s="129">
        <f t="shared" si="38"/>
        <v>0</v>
      </c>
      <c r="H595" s="129">
        <f t="shared" si="38"/>
        <v>4500</v>
      </c>
      <c r="I595" s="129">
        <f>G595+H595</f>
        <v>4500</v>
      </c>
      <c r="J595" s="129">
        <f>J596</f>
        <v>3000</v>
      </c>
    </row>
    <row r="596" spans="1:10" ht="38.25">
      <c r="A596" s="84"/>
      <c r="B596" s="131" t="s">
        <v>1161</v>
      </c>
      <c r="C596" s="77" t="s">
        <v>643</v>
      </c>
      <c r="D596" s="78" t="s">
        <v>637</v>
      </c>
      <c r="E596" s="78" t="s">
        <v>1162</v>
      </c>
      <c r="F596" s="77"/>
      <c r="G596" s="79">
        <f t="shared" si="38"/>
        <v>0</v>
      </c>
      <c r="H596" s="79">
        <f t="shared" si="38"/>
        <v>4500</v>
      </c>
      <c r="I596" s="79">
        <f>G596+H596</f>
        <v>4500</v>
      </c>
      <c r="J596" s="79">
        <f t="shared" si="38"/>
        <v>3000</v>
      </c>
    </row>
    <row r="597" spans="1:10" ht="25.5">
      <c r="A597" s="84"/>
      <c r="B597" s="131" t="s">
        <v>1296</v>
      </c>
      <c r="C597" s="77" t="s">
        <v>643</v>
      </c>
      <c r="D597" s="78" t="s">
        <v>637</v>
      </c>
      <c r="E597" s="78" t="s">
        <v>1297</v>
      </c>
      <c r="F597" s="77"/>
      <c r="G597" s="79">
        <f t="shared" si="38"/>
        <v>0</v>
      </c>
      <c r="H597" s="79">
        <f t="shared" si="38"/>
        <v>4500</v>
      </c>
      <c r="I597" s="79">
        <f>G597+H597</f>
        <v>4500</v>
      </c>
      <c r="J597" s="79">
        <f t="shared" si="38"/>
        <v>3000</v>
      </c>
    </row>
    <row r="598" spans="1:10" ht="38.25">
      <c r="A598" s="84"/>
      <c r="B598" s="131" t="s">
        <v>1298</v>
      </c>
      <c r="C598" s="77" t="s">
        <v>643</v>
      </c>
      <c r="D598" s="78" t="s">
        <v>637</v>
      </c>
      <c r="E598" s="78" t="s">
        <v>1299</v>
      </c>
      <c r="F598" s="77"/>
      <c r="G598" s="79">
        <f t="shared" si="38"/>
        <v>0</v>
      </c>
      <c r="H598" s="79">
        <f t="shared" si="38"/>
        <v>4500</v>
      </c>
      <c r="I598" s="79">
        <f>G598+H598</f>
        <v>4500</v>
      </c>
      <c r="J598" s="79">
        <f t="shared" si="38"/>
        <v>3000</v>
      </c>
    </row>
    <row r="599" spans="1:10" ht="12.75">
      <c r="A599" s="84"/>
      <c r="B599" s="131" t="s">
        <v>1300</v>
      </c>
      <c r="C599" s="77" t="s">
        <v>643</v>
      </c>
      <c r="D599" s="78" t="s">
        <v>637</v>
      </c>
      <c r="E599" s="78" t="s">
        <v>1301</v>
      </c>
      <c r="F599" s="77"/>
      <c r="G599" s="79">
        <f t="shared" si="38"/>
        <v>0</v>
      </c>
      <c r="H599" s="79">
        <f t="shared" si="38"/>
        <v>4500</v>
      </c>
      <c r="I599" s="79">
        <f>G599+H599</f>
        <v>4500</v>
      </c>
      <c r="J599" s="79">
        <f t="shared" si="38"/>
        <v>3000</v>
      </c>
    </row>
    <row r="600" spans="1:10" ht="12.75">
      <c r="A600" s="84"/>
      <c r="B600" s="131" t="s">
        <v>770</v>
      </c>
      <c r="C600" s="77" t="s">
        <v>643</v>
      </c>
      <c r="D600" s="78" t="s">
        <v>637</v>
      </c>
      <c r="E600" s="78" t="s">
        <v>1301</v>
      </c>
      <c r="F600" s="77" t="s">
        <v>1302</v>
      </c>
      <c r="G600" s="79"/>
      <c r="H600" s="79">
        <v>4500</v>
      </c>
      <c r="I600" s="79">
        <f>G600+H600</f>
        <v>4500</v>
      </c>
      <c r="J600" s="79">
        <v>3000</v>
      </c>
    </row>
    <row r="601" spans="1:10" ht="25.5">
      <c r="A601" s="84"/>
      <c r="B601" s="130" t="s">
        <v>953</v>
      </c>
      <c r="C601" s="117" t="s">
        <v>645</v>
      </c>
      <c r="D601" s="128"/>
      <c r="E601" s="128"/>
      <c r="F601" s="117"/>
      <c r="G601" s="129">
        <f>G602+G617</f>
        <v>23806200</v>
      </c>
      <c r="H601" s="129">
        <f>H602+H617</f>
        <v>-35600</v>
      </c>
      <c r="I601" s="129">
        <f>G601+H601</f>
        <v>23770600</v>
      </c>
      <c r="J601" s="129">
        <f>J602+J617</f>
        <v>23770600</v>
      </c>
    </row>
    <row r="602" spans="1:10" ht="38.25">
      <c r="A602" s="84"/>
      <c r="B602" s="130" t="s">
        <v>378</v>
      </c>
      <c r="C602" s="117" t="s">
        <v>645</v>
      </c>
      <c r="D602" s="128" t="s">
        <v>637</v>
      </c>
      <c r="E602" s="128"/>
      <c r="F602" s="117"/>
      <c r="G602" s="129">
        <f>G603+G609</f>
        <v>23806200</v>
      </c>
      <c r="H602" s="129">
        <f>H603+H609</f>
        <v>-35600</v>
      </c>
      <c r="I602" s="129">
        <f>G602+H602</f>
        <v>23770600</v>
      </c>
      <c r="J602" s="129">
        <f>J603+J609</f>
        <v>23770600</v>
      </c>
    </row>
    <row r="603" spans="1:10" ht="38.25">
      <c r="A603" s="84"/>
      <c r="B603" s="131" t="s">
        <v>902</v>
      </c>
      <c r="C603" s="77" t="s">
        <v>645</v>
      </c>
      <c r="D603" s="78" t="s">
        <v>637</v>
      </c>
      <c r="E603" s="78" t="s">
        <v>763</v>
      </c>
      <c r="F603" s="77"/>
      <c r="G603" s="79">
        <f>G604</f>
        <v>23806200</v>
      </c>
      <c r="H603" s="79">
        <f>H604</f>
        <v>-23806200</v>
      </c>
      <c r="I603" s="79">
        <f>G603+H603</f>
        <v>0</v>
      </c>
      <c r="J603" s="79">
        <f>J604</f>
        <v>0</v>
      </c>
    </row>
    <row r="604" spans="1:10" ht="25.5">
      <c r="A604" s="84"/>
      <c r="B604" s="131" t="s">
        <v>904</v>
      </c>
      <c r="C604" s="77" t="s">
        <v>645</v>
      </c>
      <c r="D604" s="78" t="s">
        <v>637</v>
      </c>
      <c r="E604" s="78" t="s">
        <v>764</v>
      </c>
      <c r="F604" s="77"/>
      <c r="G604" s="79">
        <f>G605+G607</f>
        <v>23806200</v>
      </c>
      <c r="H604" s="79">
        <f>H605+H607</f>
        <v>-23806200</v>
      </c>
      <c r="I604" s="79">
        <f>G604+H604</f>
        <v>0</v>
      </c>
      <c r="J604" s="79">
        <f>J605+J607</f>
        <v>0</v>
      </c>
    </row>
    <row r="605" spans="1:10" ht="25.5">
      <c r="A605" s="84"/>
      <c r="B605" s="131" t="s">
        <v>905</v>
      </c>
      <c r="C605" s="77" t="s">
        <v>645</v>
      </c>
      <c r="D605" s="78" t="s">
        <v>637</v>
      </c>
      <c r="E605" s="78" t="s">
        <v>729</v>
      </c>
      <c r="F605" s="77"/>
      <c r="G605" s="79">
        <f>G606</f>
        <v>17093700</v>
      </c>
      <c r="H605" s="79">
        <f>H606</f>
        <v>-17093700</v>
      </c>
      <c r="I605" s="79">
        <f aca="true" t="shared" si="39" ref="I605:I627">G605+H605</f>
        <v>0</v>
      </c>
      <c r="J605" s="79">
        <f>J606</f>
        <v>0</v>
      </c>
    </row>
    <row r="606" spans="1:10" ht="12.75">
      <c r="A606" s="85"/>
      <c r="B606" s="131" t="s">
        <v>768</v>
      </c>
      <c r="C606" s="77" t="s">
        <v>645</v>
      </c>
      <c r="D606" s="78" t="s">
        <v>637</v>
      </c>
      <c r="E606" s="78" t="s">
        <v>729</v>
      </c>
      <c r="F606" s="77">
        <v>500</v>
      </c>
      <c r="G606" s="79">
        <v>17093700</v>
      </c>
      <c r="H606" s="79">
        <v>-17093700</v>
      </c>
      <c r="I606" s="79">
        <f t="shared" si="39"/>
        <v>0</v>
      </c>
      <c r="J606" s="79">
        <v>0</v>
      </c>
    </row>
    <row r="607" spans="1:10" ht="25.5">
      <c r="A607" s="85"/>
      <c r="B607" s="131" t="s">
        <v>906</v>
      </c>
      <c r="C607" s="77" t="s">
        <v>645</v>
      </c>
      <c r="D607" s="78" t="s">
        <v>637</v>
      </c>
      <c r="E607" s="78" t="s">
        <v>730</v>
      </c>
      <c r="F607" s="77"/>
      <c r="G607" s="79">
        <f>G608</f>
        <v>6712500</v>
      </c>
      <c r="H607" s="79">
        <f>H608</f>
        <v>-6712500</v>
      </c>
      <c r="I607" s="79">
        <f t="shared" si="39"/>
        <v>0</v>
      </c>
      <c r="J607" s="79">
        <f>J608</f>
        <v>0</v>
      </c>
    </row>
    <row r="608" spans="1:10" ht="12.75">
      <c r="A608" s="85"/>
      <c r="B608" s="131" t="s">
        <v>768</v>
      </c>
      <c r="C608" s="77" t="s">
        <v>645</v>
      </c>
      <c r="D608" s="78" t="s">
        <v>637</v>
      </c>
      <c r="E608" s="78" t="s">
        <v>730</v>
      </c>
      <c r="F608" s="77">
        <v>500</v>
      </c>
      <c r="G608" s="79">
        <v>6712500</v>
      </c>
      <c r="H608" s="79">
        <v>-6712500</v>
      </c>
      <c r="I608" s="79">
        <f t="shared" si="39"/>
        <v>0</v>
      </c>
      <c r="J608" s="79">
        <v>0</v>
      </c>
    </row>
    <row r="609" spans="1:10" ht="38.25">
      <c r="A609" s="84"/>
      <c r="B609" s="131" t="s">
        <v>1161</v>
      </c>
      <c r="C609" s="77" t="s">
        <v>645</v>
      </c>
      <c r="D609" s="78" t="s">
        <v>637</v>
      </c>
      <c r="E609" s="78" t="s">
        <v>1162</v>
      </c>
      <c r="F609" s="77"/>
      <c r="G609" s="79">
        <f aca="true" t="shared" si="40" ref="G609:H611">G610</f>
        <v>0</v>
      </c>
      <c r="H609" s="79">
        <f t="shared" si="40"/>
        <v>23770600</v>
      </c>
      <c r="I609" s="79">
        <f t="shared" si="39"/>
        <v>23770600</v>
      </c>
      <c r="J609" s="79">
        <f>J610</f>
        <v>23770600</v>
      </c>
    </row>
    <row r="610" spans="1:10" ht="25.5">
      <c r="A610" s="84"/>
      <c r="B610" s="131" t="s">
        <v>1296</v>
      </c>
      <c r="C610" s="77" t="s">
        <v>645</v>
      </c>
      <c r="D610" s="78" t="s">
        <v>637</v>
      </c>
      <c r="E610" s="78" t="s">
        <v>1297</v>
      </c>
      <c r="F610" s="77"/>
      <c r="G610" s="79">
        <f t="shared" si="40"/>
        <v>0</v>
      </c>
      <c r="H610" s="79">
        <f t="shared" si="40"/>
        <v>23770600</v>
      </c>
      <c r="I610" s="79">
        <f t="shared" si="39"/>
        <v>23770600</v>
      </c>
      <c r="J610" s="79">
        <f>J611</f>
        <v>23770600</v>
      </c>
    </row>
    <row r="611" spans="1:10" ht="38.25">
      <c r="A611" s="85"/>
      <c r="B611" s="131" t="s">
        <v>1298</v>
      </c>
      <c r="C611" s="77" t="s">
        <v>645</v>
      </c>
      <c r="D611" s="78" t="s">
        <v>637</v>
      </c>
      <c r="E611" s="78" t="s">
        <v>1299</v>
      </c>
      <c r="F611" s="77"/>
      <c r="G611" s="79">
        <f t="shared" si="40"/>
        <v>0</v>
      </c>
      <c r="H611" s="79">
        <f t="shared" si="40"/>
        <v>23770600</v>
      </c>
      <c r="I611" s="79">
        <f t="shared" si="39"/>
        <v>23770600</v>
      </c>
      <c r="J611" s="79">
        <f>J612</f>
        <v>23770600</v>
      </c>
    </row>
    <row r="612" spans="1:10" ht="25.5">
      <c r="A612" s="85"/>
      <c r="B612" s="131" t="s">
        <v>1303</v>
      </c>
      <c r="C612" s="77" t="s">
        <v>645</v>
      </c>
      <c r="D612" s="78" t="s">
        <v>637</v>
      </c>
      <c r="E612" s="78" t="s">
        <v>1304</v>
      </c>
      <c r="F612" s="77"/>
      <c r="G612" s="79">
        <f>G613+G615</f>
        <v>0</v>
      </c>
      <c r="H612" s="79">
        <f>H613+H615</f>
        <v>23770600</v>
      </c>
      <c r="I612" s="79">
        <f t="shared" si="39"/>
        <v>23770600</v>
      </c>
      <c r="J612" s="79">
        <f>J613+J615</f>
        <v>23770600</v>
      </c>
    </row>
    <row r="613" spans="1:10" ht="25.5">
      <c r="A613" s="85"/>
      <c r="B613" s="131" t="s">
        <v>905</v>
      </c>
      <c r="C613" s="77" t="s">
        <v>645</v>
      </c>
      <c r="D613" s="78" t="s">
        <v>637</v>
      </c>
      <c r="E613" s="78" t="s">
        <v>1305</v>
      </c>
      <c r="F613" s="77"/>
      <c r="G613" s="79">
        <f>G614</f>
        <v>0</v>
      </c>
      <c r="H613" s="79">
        <f>H614</f>
        <v>17093700</v>
      </c>
      <c r="I613" s="79">
        <f t="shared" si="39"/>
        <v>17093700</v>
      </c>
      <c r="J613" s="79">
        <f>J614</f>
        <v>17093700</v>
      </c>
    </row>
    <row r="614" spans="1:10" ht="12.75">
      <c r="A614" s="84"/>
      <c r="B614" s="131" t="s">
        <v>768</v>
      </c>
      <c r="C614" s="77" t="s">
        <v>645</v>
      </c>
      <c r="D614" s="78" t="s">
        <v>637</v>
      </c>
      <c r="E614" s="78" t="s">
        <v>1305</v>
      </c>
      <c r="F614" s="77" t="s">
        <v>413</v>
      </c>
      <c r="G614" s="79"/>
      <c r="H614" s="79">
        <f>2548870+1702440+1798620+1531950+1154380+2028630+1662950+2808450+1857410</f>
        <v>17093700</v>
      </c>
      <c r="I614" s="79">
        <f t="shared" si="39"/>
        <v>17093700</v>
      </c>
      <c r="J614" s="79">
        <f>2548870+1702440+1798620+1531950+1154380+2028630+1662950+2808450+1857410</f>
        <v>17093700</v>
      </c>
    </row>
    <row r="615" spans="1:10" ht="25.5">
      <c r="A615" s="84"/>
      <c r="B615" s="131" t="s">
        <v>906</v>
      </c>
      <c r="C615" s="77" t="s">
        <v>645</v>
      </c>
      <c r="D615" s="78" t="s">
        <v>637</v>
      </c>
      <c r="E615" s="78" t="s">
        <v>1306</v>
      </c>
      <c r="F615" s="77"/>
      <c r="G615" s="79">
        <f>G616</f>
        <v>0</v>
      </c>
      <c r="H615" s="79">
        <f>H616</f>
        <v>6676900</v>
      </c>
      <c r="I615" s="79">
        <f t="shared" si="39"/>
        <v>6676900</v>
      </c>
      <c r="J615" s="79">
        <f>J616</f>
        <v>6676900</v>
      </c>
    </row>
    <row r="616" spans="1:10" ht="12.75">
      <c r="A616" s="85"/>
      <c r="B616" s="131" t="s">
        <v>768</v>
      </c>
      <c r="C616" s="77" t="s">
        <v>645</v>
      </c>
      <c r="D616" s="78" t="s">
        <v>637</v>
      </c>
      <c r="E616" s="78" t="s">
        <v>1306</v>
      </c>
      <c r="F616" s="77" t="s">
        <v>413</v>
      </c>
      <c r="G616" s="79"/>
      <c r="H616" s="79">
        <f>627660+980190+339540+459060+868040+820220+559060+1517700+505430</f>
        <v>6676900</v>
      </c>
      <c r="I616" s="79">
        <f t="shared" si="39"/>
        <v>6676900</v>
      </c>
      <c r="J616" s="79">
        <f>627660+980190+339540+459060+868040+820220+559060+1517700+505430</f>
        <v>6676900</v>
      </c>
    </row>
    <row r="617" spans="1:10" ht="12.75" hidden="1">
      <c r="A617" s="84"/>
      <c r="B617" s="127" t="s">
        <v>994</v>
      </c>
      <c r="C617" s="117" t="s">
        <v>645</v>
      </c>
      <c r="D617" s="117" t="s">
        <v>639</v>
      </c>
      <c r="E617" s="128"/>
      <c r="F617" s="117"/>
      <c r="G617" s="129">
        <f aca="true" t="shared" si="41" ref="G617:H622">G618</f>
        <v>0</v>
      </c>
      <c r="H617" s="129">
        <f t="shared" si="41"/>
        <v>0</v>
      </c>
      <c r="I617" s="129">
        <f t="shared" si="39"/>
        <v>0</v>
      </c>
      <c r="J617" s="129">
        <f>J618</f>
        <v>0</v>
      </c>
    </row>
    <row r="618" spans="1:10" ht="36" hidden="1">
      <c r="A618" s="84"/>
      <c r="B618" s="88" t="s">
        <v>1410</v>
      </c>
      <c r="C618" s="77" t="s">
        <v>645</v>
      </c>
      <c r="D618" s="77" t="s">
        <v>639</v>
      </c>
      <c r="E618" s="78" t="s">
        <v>1162</v>
      </c>
      <c r="F618" s="77"/>
      <c r="G618" s="79">
        <f t="shared" si="41"/>
        <v>0</v>
      </c>
      <c r="H618" s="79">
        <f t="shared" si="41"/>
        <v>0</v>
      </c>
      <c r="I618" s="79">
        <f t="shared" si="39"/>
        <v>0</v>
      </c>
      <c r="J618" s="79">
        <f>J619</f>
        <v>0</v>
      </c>
    </row>
    <row r="619" spans="1:10" ht="24" hidden="1">
      <c r="A619" s="85"/>
      <c r="B619" s="88" t="s">
        <v>1296</v>
      </c>
      <c r="C619" s="77" t="s">
        <v>645</v>
      </c>
      <c r="D619" s="77" t="s">
        <v>639</v>
      </c>
      <c r="E619" s="78" t="s">
        <v>1297</v>
      </c>
      <c r="F619" s="77"/>
      <c r="G619" s="79">
        <f t="shared" si="41"/>
        <v>0</v>
      </c>
      <c r="H619" s="79">
        <f t="shared" si="41"/>
        <v>0</v>
      </c>
      <c r="I619" s="79">
        <f t="shared" si="39"/>
        <v>0</v>
      </c>
      <c r="J619" s="79">
        <f>J620</f>
        <v>0</v>
      </c>
    </row>
    <row r="620" spans="1:10" ht="36" hidden="1">
      <c r="A620" s="80"/>
      <c r="B620" s="88" t="s">
        <v>1298</v>
      </c>
      <c r="C620" s="77" t="s">
        <v>645</v>
      </c>
      <c r="D620" s="77" t="s">
        <v>639</v>
      </c>
      <c r="E620" s="78" t="s">
        <v>1299</v>
      </c>
      <c r="F620" s="77"/>
      <c r="G620" s="79">
        <f>G621+G624</f>
        <v>0</v>
      </c>
      <c r="H620" s="79">
        <f>H621+H624</f>
        <v>0</v>
      </c>
      <c r="I620" s="79">
        <f t="shared" si="39"/>
        <v>0</v>
      </c>
      <c r="J620" s="79">
        <f>J621+J624</f>
        <v>0</v>
      </c>
    </row>
    <row r="621" spans="1:10" ht="24" hidden="1">
      <c r="A621" s="80"/>
      <c r="B621" s="88" t="s">
        <v>1303</v>
      </c>
      <c r="C621" s="77" t="s">
        <v>645</v>
      </c>
      <c r="D621" s="77" t="s">
        <v>639</v>
      </c>
      <c r="E621" s="78" t="s">
        <v>1304</v>
      </c>
      <c r="F621" s="77"/>
      <c r="G621" s="79">
        <f t="shared" si="41"/>
        <v>0</v>
      </c>
      <c r="H621" s="79">
        <f t="shared" si="41"/>
        <v>0</v>
      </c>
      <c r="I621" s="79">
        <f t="shared" si="39"/>
        <v>0</v>
      </c>
      <c r="J621" s="79">
        <f>J622</f>
        <v>0</v>
      </c>
    </row>
    <row r="622" spans="1:10" ht="12.75" hidden="1">
      <c r="A622" s="80"/>
      <c r="B622" s="88" t="s">
        <v>611</v>
      </c>
      <c r="C622" s="77" t="s">
        <v>645</v>
      </c>
      <c r="D622" s="77" t="s">
        <v>639</v>
      </c>
      <c r="E622" s="78" t="s">
        <v>1411</v>
      </c>
      <c r="F622" s="77"/>
      <c r="G622" s="79">
        <f t="shared" si="41"/>
        <v>0</v>
      </c>
      <c r="H622" s="79">
        <f t="shared" si="41"/>
        <v>0</v>
      </c>
      <c r="I622" s="79">
        <f t="shared" si="39"/>
        <v>0</v>
      </c>
      <c r="J622" s="79">
        <f>J623</f>
        <v>0</v>
      </c>
    </row>
    <row r="623" spans="1:10" ht="12.75" hidden="1">
      <c r="A623" s="80"/>
      <c r="B623" s="88" t="s">
        <v>768</v>
      </c>
      <c r="C623" s="77" t="s">
        <v>645</v>
      </c>
      <c r="D623" s="77" t="s">
        <v>639</v>
      </c>
      <c r="E623" s="78" t="s">
        <v>1411</v>
      </c>
      <c r="F623" s="77" t="s">
        <v>413</v>
      </c>
      <c r="G623" s="79">
        <v>0</v>
      </c>
      <c r="H623" s="79">
        <v>0</v>
      </c>
      <c r="I623" s="79">
        <f t="shared" si="39"/>
        <v>0</v>
      </c>
      <c r="J623" s="79">
        <v>0</v>
      </c>
    </row>
    <row r="624" spans="1:10" ht="36" hidden="1">
      <c r="A624" s="80"/>
      <c r="B624" s="88" t="s">
        <v>1412</v>
      </c>
      <c r="C624" s="77" t="s">
        <v>645</v>
      </c>
      <c r="D624" s="77" t="s">
        <v>639</v>
      </c>
      <c r="E624" s="78" t="s">
        <v>1413</v>
      </c>
      <c r="F624" s="77"/>
      <c r="G624" s="79">
        <f>G625</f>
        <v>0</v>
      </c>
      <c r="H624" s="79">
        <f>H625</f>
        <v>0</v>
      </c>
      <c r="I624" s="79">
        <f t="shared" si="39"/>
        <v>0</v>
      </c>
      <c r="J624" s="79">
        <f>J625</f>
        <v>0</v>
      </c>
    </row>
    <row r="625" spans="1:10" ht="12.75" hidden="1">
      <c r="A625" s="80"/>
      <c r="B625" s="88" t="s">
        <v>768</v>
      </c>
      <c r="C625" s="77" t="s">
        <v>645</v>
      </c>
      <c r="D625" s="77" t="s">
        <v>639</v>
      </c>
      <c r="E625" s="78" t="s">
        <v>1413</v>
      </c>
      <c r="F625" s="77" t="s">
        <v>413</v>
      </c>
      <c r="G625" s="79">
        <v>0</v>
      </c>
      <c r="H625" s="79">
        <v>0</v>
      </c>
      <c r="I625" s="79">
        <f t="shared" si="39"/>
        <v>0</v>
      </c>
      <c r="J625" s="79">
        <v>0</v>
      </c>
    </row>
    <row r="626" spans="1:10" ht="12.75">
      <c r="A626" s="80"/>
      <c r="B626" s="131" t="s">
        <v>1052</v>
      </c>
      <c r="C626" s="77" t="s">
        <v>1053</v>
      </c>
      <c r="D626" s="77" t="s">
        <v>1053</v>
      </c>
      <c r="E626" s="77" t="s">
        <v>1055</v>
      </c>
      <c r="F626" s="77" t="s">
        <v>1054</v>
      </c>
      <c r="G626" s="79">
        <f>11751169+483800</f>
        <v>12234969</v>
      </c>
      <c r="H626" s="79">
        <f>-12234969+6404602</f>
        <v>-5830367</v>
      </c>
      <c r="I626" s="79">
        <f t="shared" si="39"/>
        <v>6404602</v>
      </c>
      <c r="J626" s="79">
        <v>13030308</v>
      </c>
    </row>
    <row r="627" spans="1:10" ht="12.75">
      <c r="A627" s="80"/>
      <c r="B627" s="151" t="s">
        <v>636</v>
      </c>
      <c r="C627" s="152"/>
      <c r="D627" s="152"/>
      <c r="E627" s="152"/>
      <c r="F627" s="153"/>
      <c r="G627" s="76">
        <f>G15+G173+G178+G198+G286+G309+G488+G533+G569+G577+G594+G601+G626</f>
        <v>689500970</v>
      </c>
      <c r="H627" s="76">
        <f>H15+H173+H178+H198+H286+H309+H488+H533+H569+H577+H594+H601+H626</f>
        <v>51014008</v>
      </c>
      <c r="I627" s="76">
        <f t="shared" si="39"/>
        <v>740514978</v>
      </c>
      <c r="J627" s="76">
        <f>J15+J173+J178+J198+J286+J309+J488+J533+J569+J577+J594+J601+J626</f>
        <v>573414745</v>
      </c>
    </row>
    <row r="628" ht="12.75">
      <c r="A628" s="80"/>
    </row>
    <row r="629" ht="12.75">
      <c r="A629" s="80"/>
    </row>
    <row r="630" ht="12.75">
      <c r="A630" s="80"/>
    </row>
    <row r="631" ht="12.75">
      <c r="A631" s="80"/>
    </row>
    <row r="632" ht="12.75">
      <c r="A632" s="80"/>
    </row>
    <row r="633" ht="12.75">
      <c r="A633" s="80"/>
    </row>
    <row r="634" ht="12.75">
      <c r="A634" s="80"/>
    </row>
    <row r="635" ht="12.75">
      <c r="A635" s="80"/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spans="1:4" ht="12.75">
      <c r="A709" s="82"/>
      <c r="D709" s="81"/>
    </row>
    <row r="710" spans="1:4" ht="12.75">
      <c r="A710" s="82"/>
      <c r="D710" s="81"/>
    </row>
    <row r="711" spans="1:4" ht="12.75">
      <c r="A711" s="82"/>
      <c r="D711" s="81"/>
    </row>
    <row r="712" spans="1:4" ht="12.75">
      <c r="A712" s="82"/>
      <c r="D712" s="81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ht="12.75">
      <c r="A748" s="80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spans="1:5" ht="12.75">
      <c r="A842" s="82"/>
      <c r="D842" s="81"/>
      <c r="E842" s="81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spans="1:5" ht="12.75">
      <c r="A848" s="82"/>
      <c r="D848" s="81"/>
      <c r="E848" s="81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spans="1:5" ht="12.75">
      <c r="A901" s="82"/>
      <c r="D901" s="81"/>
      <c r="E901" s="81"/>
    </row>
    <row r="902" spans="1:5" ht="12.75">
      <c r="A902" s="82"/>
      <c r="D902" s="81"/>
      <c r="E902" s="81"/>
    </row>
    <row r="903" spans="1:5" ht="12.75">
      <c r="A903" s="82"/>
      <c r="D903" s="81"/>
      <c r="E903" s="81"/>
    </row>
    <row r="904" ht="12.75">
      <c r="A904" s="80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spans="1:4" ht="12.75">
      <c r="A914" s="86"/>
      <c r="D914" s="86"/>
    </row>
    <row r="915" ht="12.75">
      <c r="A915" s="80"/>
    </row>
    <row r="916" ht="12.75">
      <c r="A916" s="80"/>
    </row>
    <row r="917" ht="12.75">
      <c r="A917" s="80"/>
    </row>
    <row r="918" spans="7:10" s="80" customFormat="1" ht="12.75">
      <c r="G918" s="67"/>
      <c r="I918" s="67"/>
      <c r="J918" s="67"/>
    </row>
    <row r="919" spans="7:10" s="80" customFormat="1" ht="12.75">
      <c r="G919" s="67"/>
      <c r="I919" s="67"/>
      <c r="J919" s="67"/>
    </row>
    <row r="920" spans="7:10" s="80" customFormat="1" ht="12.75">
      <c r="G920" s="67"/>
      <c r="I920" s="67"/>
      <c r="J920" s="67"/>
    </row>
    <row r="921" spans="7:10" s="80" customFormat="1" ht="12.75">
      <c r="G921" s="67"/>
      <c r="I921" s="67"/>
      <c r="J921" s="67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F1:L1"/>
    <mergeCell ref="F2:L2"/>
    <mergeCell ref="F3:L3"/>
    <mergeCell ref="G4:L4"/>
    <mergeCell ref="B12:G12"/>
    <mergeCell ref="G5:L5"/>
    <mergeCell ref="E7:L7"/>
    <mergeCell ref="B627:F627"/>
    <mergeCell ref="D8:L8"/>
    <mergeCell ref="E9:L9"/>
    <mergeCell ref="B10:L10"/>
    <mergeCell ref="B11:L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7.75390625" style="73" customWidth="1"/>
    <col min="4" max="4" width="7.125" style="73" customWidth="1"/>
    <col min="5" max="5" width="12.875" style="73" customWidth="1"/>
    <col min="6" max="6" width="6.2539062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375" style="64" customWidth="1"/>
    <col min="12" max="18" width="15.375" style="64" customWidth="1"/>
    <col min="19" max="19" width="14.375" style="73" customWidth="1"/>
    <col min="20" max="20" width="14.2539062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49" t="s">
        <v>358</v>
      </c>
      <c r="F1" s="149"/>
      <c r="G1" s="149"/>
      <c r="H1" s="149"/>
      <c r="I1" s="149"/>
      <c r="J1" s="149"/>
      <c r="K1" s="149"/>
      <c r="L1" s="149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49" t="s">
        <v>1000</v>
      </c>
      <c r="F2" s="149"/>
      <c r="G2" s="149"/>
      <c r="H2" s="149"/>
      <c r="I2" s="149"/>
      <c r="J2" s="149"/>
      <c r="K2" s="149"/>
      <c r="L2" s="149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49" t="s">
        <v>1001</v>
      </c>
      <c r="F3" s="149"/>
      <c r="G3" s="149"/>
      <c r="H3" s="149"/>
      <c r="I3" s="149"/>
      <c r="J3" s="149"/>
      <c r="K3" s="149"/>
      <c r="L3" s="149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48" t="s">
        <v>1092</v>
      </c>
      <c r="H4" s="148"/>
      <c r="I4" s="148"/>
      <c r="J4" s="148"/>
      <c r="K4" s="148"/>
      <c r="L4" s="148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48" t="s">
        <v>1093</v>
      </c>
      <c r="H5" s="148"/>
      <c r="I5" s="148"/>
      <c r="J5" s="148"/>
      <c r="K5" s="148"/>
      <c r="L5" s="148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49" t="s">
        <v>1094</v>
      </c>
      <c r="E7" s="149"/>
      <c r="F7" s="149"/>
      <c r="G7" s="149"/>
      <c r="H7" s="149"/>
      <c r="I7" s="149"/>
      <c r="J7" s="149"/>
      <c r="K7" s="149"/>
      <c r="L7" s="149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49" t="s">
        <v>1056</v>
      </c>
      <c r="D8" s="149"/>
      <c r="E8" s="149"/>
      <c r="F8" s="149"/>
      <c r="G8" s="149"/>
      <c r="H8" s="149"/>
      <c r="I8" s="149"/>
      <c r="J8" s="149"/>
      <c r="K8" s="149"/>
      <c r="L8" s="149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49" t="s">
        <v>1095</v>
      </c>
      <c r="E9" s="149"/>
      <c r="F9" s="149"/>
      <c r="G9" s="149"/>
      <c r="H9" s="149"/>
      <c r="I9" s="149"/>
      <c r="J9" s="149"/>
      <c r="K9" s="149"/>
      <c r="L9" s="149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50" t="s">
        <v>1096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00"/>
      <c r="N10" s="100"/>
      <c r="O10" s="100"/>
      <c r="P10" s="100"/>
      <c r="Q10" s="100"/>
      <c r="R10" s="100"/>
    </row>
    <row r="11" spans="1:18" s="64" customFormat="1" ht="15">
      <c r="A11" s="97"/>
      <c r="B11" s="97"/>
      <c r="C11" s="66"/>
      <c r="D11" s="66"/>
      <c r="E11" s="97"/>
      <c r="F11" s="97"/>
      <c r="G11" s="107"/>
      <c r="H11" s="156"/>
      <c r="I11" s="156"/>
      <c r="J11" s="156"/>
      <c r="K11" s="156"/>
      <c r="L11" s="156"/>
      <c r="M11" s="102"/>
      <c r="N11" s="102"/>
      <c r="O11" s="102"/>
      <c r="P11" s="102"/>
      <c r="Q11" s="102"/>
      <c r="R11" s="102"/>
    </row>
    <row r="12" spans="2:10" ht="18.75" customHeight="1">
      <c r="B12" s="157" t="s">
        <v>1091</v>
      </c>
      <c r="C12" s="157"/>
      <c r="D12" s="157"/>
      <c r="E12" s="157"/>
      <c r="F12" s="157"/>
      <c r="G12" s="157"/>
      <c r="H12" s="157"/>
      <c r="I12" s="157"/>
      <c r="J12" s="98"/>
    </row>
    <row r="13" spans="1:10" ht="18.75">
      <c r="A13" s="74"/>
      <c r="B13" s="155" t="s">
        <v>966</v>
      </c>
      <c r="C13" s="155"/>
      <c r="D13" s="155"/>
      <c r="E13" s="155"/>
      <c r="F13" s="155"/>
      <c r="G13" s="155"/>
      <c r="H13" s="155"/>
      <c r="I13" s="155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48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48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48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48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48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48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48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48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48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48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36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48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48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48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48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48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48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36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36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24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48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48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48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48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48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36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36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24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36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36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48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48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24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48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36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36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36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36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36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36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96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96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24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24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48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48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24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48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48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48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48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48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24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24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24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24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24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36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48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48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48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48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24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48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48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36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36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36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1" t="s">
        <v>636</v>
      </c>
      <c r="C590" s="152"/>
      <c r="D590" s="152"/>
      <c r="E590" s="152"/>
      <c r="F590" s="153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B590:F590"/>
    <mergeCell ref="C8:L8"/>
    <mergeCell ref="D9:L9"/>
    <mergeCell ref="C10:L10"/>
    <mergeCell ref="H11:L11"/>
    <mergeCell ref="B12:I12"/>
    <mergeCell ref="B13:I13"/>
    <mergeCell ref="E1:L1"/>
    <mergeCell ref="E2:L2"/>
    <mergeCell ref="E3:L3"/>
    <mergeCell ref="G4:L4"/>
    <mergeCell ref="G5:L5"/>
    <mergeCell ref="D7:L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2018-11-08T12:46:14Z</cp:lastPrinted>
  <dcterms:created xsi:type="dcterms:W3CDTF">2008-09-23T08:43:48Z</dcterms:created>
  <dcterms:modified xsi:type="dcterms:W3CDTF">2018-12-10T04:01:49Z</dcterms:modified>
  <cp:category/>
  <cp:version/>
  <cp:contentType/>
  <cp:contentStatus/>
</cp:coreProperties>
</file>